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Formel" sheetId="1" r:id="rId1"/>
  </sheets>
  <definedNames/>
  <calcPr fullCalcOnLoad="1"/>
</workbook>
</file>

<file path=xl/sharedStrings.xml><?xml version="1.0" encoding="utf-8"?>
<sst xmlns="http://schemas.openxmlformats.org/spreadsheetml/2006/main" count="189" uniqueCount="115">
  <si>
    <t>Disziplin LA männlich</t>
  </si>
  <si>
    <t>Dis-Nr.</t>
  </si>
  <si>
    <t xml:space="preserve">Formel Leichtathletik männlich </t>
  </si>
  <si>
    <t>Leistung</t>
  </si>
  <si>
    <t>Punkte</t>
  </si>
  <si>
    <t>50-m-Lauf Handstoppung</t>
  </si>
  <si>
    <t>(((100/((Leistung+0,24)*1,7)-4,341)/0,00676)/49</t>
  </si>
  <si>
    <t>50-m-Lauf elektrische Zeitm.</t>
  </si>
  <si>
    <t>(((100/(Leistung*1,7)-4,341)/0,00676)/49</t>
  </si>
  <si>
    <t>75-m-Lauf Handstoppung</t>
  </si>
  <si>
    <t>(((100/((Leistung+0,24)*1,3)-4,341)/0,00676)/49</t>
  </si>
  <si>
    <t>75-m-Lauf elektrische Zeitm.</t>
  </si>
  <si>
    <t>(((100/(Leistung*1,3)-4,341)/0,00676)/49</t>
  </si>
  <si>
    <t>100-m-Lauf Handstoppung</t>
  </si>
  <si>
    <t>(((100/(Leistung+0,24)-4,341)/0,00676)/49</t>
  </si>
  <si>
    <t>100-m-Lauf elektrische Zeitm.</t>
  </si>
  <si>
    <t>(((100/Leistung)-4,341)/0,00676)/49</t>
  </si>
  <si>
    <t>1.000-m-Lauf</t>
  </si>
  <si>
    <t>(((1000/Leistung)-2,158)/0,006)/49</t>
  </si>
  <si>
    <t>2.000-m-Lauf</t>
  </si>
  <si>
    <t>(((2000/Leistung)-1,784)/0,006)/49</t>
  </si>
  <si>
    <t>3.000-m-Lauf</t>
  </si>
  <si>
    <t>(((3000/Leistung)-1,3)/0,006)/49</t>
  </si>
  <si>
    <t>Weitsprung / Zone</t>
  </si>
  <si>
    <t>421/422</t>
  </si>
  <si>
    <t>Leistung multipliziert mit 2</t>
  </si>
  <si>
    <t>Weitsprung aus dem Stand</t>
  </si>
  <si>
    <t>Leistung multipliziert mit 4</t>
  </si>
  <si>
    <t>Kugelstoßen + Medizinball</t>
  </si>
  <si>
    <t>43*</t>
  </si>
  <si>
    <t>Schleuderball / Schlagball</t>
  </si>
  <si>
    <t>44*</t>
  </si>
  <si>
    <t>Leistung dividiert durch 4,5</t>
  </si>
  <si>
    <t>Vollball</t>
  </si>
  <si>
    <t>444/445</t>
  </si>
  <si>
    <t>Leistung dividiert durch 2,5</t>
  </si>
  <si>
    <t>Disziplin LA weiblich</t>
  </si>
  <si>
    <t xml:space="preserve">Formel Leichtathletik weiblich </t>
  </si>
  <si>
    <t>(((100/((Leistung+0,24)*1,6)-4,341)/0,00676)/49</t>
  </si>
  <si>
    <t>(((100/(Leistung*1,6)-4,341)/0,00676)/49</t>
  </si>
  <si>
    <t>(((100/((Leistung+0,24)*1,2)-4,341)/0,00676)/49</t>
  </si>
  <si>
    <t>(((100/(Leistung*1,2)-4,341)/0,00676)/49</t>
  </si>
  <si>
    <t>(((100/((Leistung+0,24)*0,90)-4,341)/0,00676)/49</t>
  </si>
  <si>
    <t>(((100/(Leistung*0,90)-4,341)/0,00676)/49</t>
  </si>
  <si>
    <t>(((1000/Leistung)-1,9231)/0,00566)/49</t>
  </si>
  <si>
    <t>(((2000/Leistung)-1,584)/0,00566)/49</t>
  </si>
  <si>
    <t>Leistung multipliziert mit 2,2</t>
  </si>
  <si>
    <t>Leistung multipliziert mit 4,4</t>
  </si>
  <si>
    <t>Leistung dividiert durch 3,5</t>
  </si>
  <si>
    <t>Leistung dividiert durch 1,5</t>
  </si>
  <si>
    <t>Disziplin SW männl.</t>
  </si>
  <si>
    <t xml:space="preserve">Formel Schwimmen männlich </t>
  </si>
  <si>
    <t>100 m Kraul</t>
  </si>
  <si>
    <t>12*(((100/(1,2*Faktor1*Leistung))-0,3))</t>
  </si>
  <si>
    <t>50 m Kraul</t>
  </si>
  <si>
    <t>12*(((100/(1,2*(2*Leistung+3,5)))-0,3))</t>
  </si>
  <si>
    <t>25 m Kraul</t>
  </si>
  <si>
    <t>12*(((100/(1,2*(4*Leistung+6,3)))-0,3))</t>
  </si>
  <si>
    <t>100 m Brust</t>
  </si>
  <si>
    <t>12*(((100/(1,2*(Leistung-14,5)))-0,3))</t>
  </si>
  <si>
    <t>50 m Brust</t>
  </si>
  <si>
    <t>12*(((100/(1,2*(2*Leistung-10,5)))-0,3))</t>
  </si>
  <si>
    <t>25 m Brust</t>
  </si>
  <si>
    <t>12*(((100/(1,2*(4*Leistung-13,7)))-0,3))</t>
  </si>
  <si>
    <t>100 m Rücken</t>
  </si>
  <si>
    <t>12*(((100/(1,2*(Leistung-7,5)))-0,3))</t>
  </si>
  <si>
    <t>50 m Rücken</t>
  </si>
  <si>
    <t>12*(((100/(1,2*(2*Leistung-4,5)))-0,3))</t>
  </si>
  <si>
    <t>25 m Rücken</t>
  </si>
  <si>
    <t>12*(((100/(1,2*(4*Leistung-5,7)))-0,3))</t>
  </si>
  <si>
    <t>100 m Schmetterling</t>
  </si>
  <si>
    <t>12*(((100/(1,2*(Leistung-5,5)))-0,3))</t>
  </si>
  <si>
    <t>50 m Schmetterling</t>
  </si>
  <si>
    <t>12*(((100/(1,2*(2*Leistung-1,5)))-0,3))</t>
  </si>
  <si>
    <t>25 m Schmetterling</t>
  </si>
  <si>
    <t>12*(((100/(1,2*(4*Leistung-1,7)))-0,3))</t>
  </si>
  <si>
    <t>200 m Freistil</t>
  </si>
  <si>
    <t>12*(((100/(1,2*(0,5*Leistung-5)))-0,3))</t>
  </si>
  <si>
    <t>25 m Streckentauchen</t>
  </si>
  <si>
    <t>12*(((100/(1,2*(4*Leistung+1,5)))-0,3))</t>
  </si>
  <si>
    <t>15 m Streckentauchen</t>
  </si>
  <si>
    <t>12*(((100/(1,2*(8*Leistung-2,5)))-0,3))</t>
  </si>
  <si>
    <t>10 m Streckentauchen</t>
  </si>
  <si>
    <t>12*(((100/(1,2*(10*Leistung+6)))-0,3))</t>
  </si>
  <si>
    <t>Disziplin SW weiblich</t>
  </si>
  <si>
    <t>Formel Schwimmen weiblich</t>
  </si>
  <si>
    <t>Pkt.</t>
  </si>
  <si>
    <t>12*(((100/(1,2*(Faktor1*Leistung-6,5)))-0,3))</t>
  </si>
  <si>
    <t>12*(((100/(1,2*(2*Leistung-2,5)))-0,3))</t>
  </si>
  <si>
    <t>12*(((100/(1,2*(Leistung-22,5)))-0,3))</t>
  </si>
  <si>
    <t>12*(((100/(1,2*(2*Leistung-18,5)))-0,3))</t>
  </si>
  <si>
    <t>12*(((100/(1,2*(Leistung-13,5)))-0,3))</t>
  </si>
  <si>
    <t>12*(((100/(1,2*(Leistung-11,5)))-0,3))</t>
  </si>
  <si>
    <t>12*(((100/(1,2*(2*Leistung-7,5)))-0,3))</t>
  </si>
  <si>
    <t>12*(((100/(1,2*(0,5*Leistung-10,5)))-0,3))</t>
  </si>
  <si>
    <t>12*(((100/(1,2*(4*Leistung-2,5)))-0,3))</t>
  </si>
  <si>
    <t>12*(((100/(1,2*(8*Leistung-10,5)))-0,3))</t>
  </si>
  <si>
    <t>Disziplin Rope Skipping m + w</t>
  </si>
  <si>
    <t>Formel Rope Skipping
männlich und weiblich</t>
  </si>
  <si>
    <t>Disziplin Schießen
männlich + weiblich</t>
  </si>
  <si>
    <t>Formel Schießen
männlich und weiblich</t>
  </si>
  <si>
    <t>WR</t>
  </si>
  <si>
    <t>760/61</t>
  </si>
  <si>
    <t>30s Speed</t>
  </si>
  <si>
    <t>30s Criss Cross</t>
  </si>
  <si>
    <t>30s Double Under</t>
  </si>
  <si>
    <t>Schießen</t>
  </si>
  <si>
    <r>
      <rPr>
        <sz val="10"/>
        <rFont val="Arial"/>
        <family val="2"/>
      </rPr>
      <t>Leistung multipliziert mit 0,8</t>
    </r>
    <r>
      <rPr>
        <sz val="10"/>
        <color indexed="10"/>
        <rFont val="Arial"/>
        <family val="2"/>
      </rPr>
      <t xml:space="preserve"> (seit 2010 neu)</t>
    </r>
  </si>
  <si>
    <r>
      <rPr>
        <sz val="10"/>
        <rFont val="Arial"/>
        <family val="2"/>
      </rPr>
      <t>Leistung multipliziert mit 1</t>
    </r>
    <r>
      <rPr>
        <sz val="10"/>
        <color indexed="10"/>
        <rFont val="Arial"/>
        <family val="2"/>
      </rPr>
      <t xml:space="preserve"> (seit 2010 neu)</t>
    </r>
  </si>
  <si>
    <r>
      <rPr>
        <sz val="10"/>
        <rFont val="Arial"/>
        <family val="2"/>
      </rPr>
      <t>Leistung(Ringe) multipliziert mit 0,16</t>
    </r>
    <r>
      <rPr>
        <sz val="10"/>
        <color indexed="10"/>
        <rFont val="Arial"/>
        <family val="2"/>
      </rPr>
      <t xml:space="preserve"> (seit 2017neu)</t>
    </r>
  </si>
  <si>
    <t>30s Easy Jump</t>
  </si>
  <si>
    <r>
      <rPr>
        <sz val="10"/>
        <rFont val="Arial"/>
        <family val="2"/>
      </rPr>
      <t>Leistung multipliziert mit 0,14</t>
    </r>
    <r>
      <rPr>
        <sz val="10"/>
        <color indexed="10"/>
        <rFont val="Arial"/>
        <family val="2"/>
      </rPr>
      <t xml:space="preserve"> (seit 2020 neu)</t>
    </r>
  </si>
  <si>
    <r>
      <rPr>
        <sz val="10"/>
        <rFont val="Arial"/>
        <family val="2"/>
      </rPr>
      <t>Leistung multipliziert mit 0,108</t>
    </r>
    <r>
      <rPr>
        <sz val="10"/>
        <color indexed="10"/>
        <rFont val="Arial"/>
        <family val="2"/>
      </rPr>
      <t xml:space="preserve"> (seit 2020 neu)</t>
    </r>
  </si>
  <si>
    <r>
      <rPr>
        <sz val="10"/>
        <rFont val="Arial"/>
        <family val="2"/>
      </rPr>
      <t xml:space="preserve">Leistung multipliziert mit 0,175 </t>
    </r>
    <r>
      <rPr>
        <sz val="10"/>
        <color indexed="10"/>
        <rFont val="Arial"/>
        <family val="2"/>
      </rPr>
      <t>(</t>
    </r>
    <r>
      <rPr>
        <sz val="10"/>
        <color indexed="10"/>
        <rFont val="Arial"/>
        <family val="2"/>
      </rPr>
      <t>seit 2020 neu)</t>
    </r>
  </si>
  <si>
    <r>
      <rPr>
        <sz val="10"/>
        <rFont val="Arial"/>
        <family val="2"/>
      </rPr>
      <t xml:space="preserve">Leistung multipliziert mit 0,312 </t>
    </r>
    <r>
      <rPr>
        <sz val="10"/>
        <color indexed="10"/>
        <rFont val="Arial"/>
        <family val="2"/>
      </rPr>
      <t>(seit 2020 neu)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</si>
</sst>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2" fontId="5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2" fontId="5" fillId="0" borderId="15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 locked="0"/>
    </xf>
    <xf numFmtId="2" fontId="5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 applyProtection="1">
      <alignment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 applyProtection="1">
      <alignment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/>
    </xf>
    <xf numFmtId="164" fontId="0" fillId="0" borderId="0" xfId="0" applyNumberFormat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164" fontId="0" fillId="0" borderId="0" xfId="0" applyNumberFormat="1" applyFill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2" fontId="5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5" fillId="33" borderId="12" xfId="0" applyNumberFormat="1" applyFont="1" applyFill="1" applyBorder="1" applyAlignment="1">
      <alignment horizontal="center" vertical="center"/>
    </xf>
    <xf numFmtId="1" fontId="0" fillId="33" borderId="18" xfId="0" applyNumberFormat="1" applyFill="1" applyBorder="1" applyAlignment="1" applyProtection="1">
      <alignment horizontal="center" vertical="center"/>
      <protection locked="0"/>
    </xf>
    <xf numFmtId="2" fontId="5" fillId="33" borderId="19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2" fontId="8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vertical="center"/>
      <protection locked="0"/>
    </xf>
    <xf numFmtId="1" fontId="0" fillId="33" borderId="25" xfId="0" applyNumberFormat="1" applyFill="1" applyBorder="1" applyAlignment="1" applyProtection="1">
      <alignment horizontal="center" vertical="center"/>
      <protection locked="0"/>
    </xf>
    <xf numFmtId="1" fontId="0" fillId="33" borderId="0" xfId="0" applyNumberForma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vertical="center"/>
      <protection locked="0"/>
    </xf>
    <xf numFmtId="0" fontId="3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4" fillId="0" borderId="27" xfId="0" applyFont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5" fillId="33" borderId="22" xfId="0" applyNumberFormat="1" applyFont="1" applyFill="1" applyBorder="1" applyAlignment="1">
      <alignment horizontal="center" vertical="center"/>
    </xf>
    <xf numFmtId="0" fontId="44" fillId="0" borderId="29" xfId="0" applyFont="1" applyBorder="1" applyAlignment="1">
      <alignment/>
    </xf>
    <xf numFmtId="0" fontId="6" fillId="0" borderId="16" xfId="0" applyFont="1" applyFill="1" applyBorder="1" applyAlignment="1" applyProtection="1">
      <alignment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2" fontId="0" fillId="0" borderId="17" xfId="0" applyNumberFormat="1" applyFill="1" applyBorder="1" applyAlignment="1" applyProtection="1">
      <alignment horizontal="center" vertical="center"/>
      <protection/>
    </xf>
    <xf numFmtId="2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/>
      <protection locked="0"/>
    </xf>
    <xf numFmtId="1" fontId="0" fillId="0" borderId="18" xfId="0" applyNumberFormat="1" applyFill="1" applyBorder="1" applyAlignment="1" applyProtection="1">
      <alignment horizontal="center" vertical="center"/>
      <protection locked="0"/>
    </xf>
    <xf numFmtId="2" fontId="5" fillId="0" borderId="30" xfId="0" applyNumberFormat="1" applyFont="1" applyFill="1" applyBorder="1" applyAlignment="1">
      <alignment horizontal="center" vertical="center"/>
    </xf>
    <xf numFmtId="0" fontId="44" fillId="0" borderId="31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28125" style="0" bestFit="1" customWidth="1"/>
    <col min="2" max="2" width="7.57421875" style="60" bestFit="1" customWidth="1"/>
    <col min="3" max="3" width="43.140625" style="0" bestFit="1" customWidth="1"/>
    <col min="4" max="4" width="8.57421875" style="61" bestFit="1" customWidth="1"/>
    <col min="5" max="5" width="7.140625" style="61" bestFit="1" customWidth="1"/>
    <col min="6" max="6" width="4.28125" style="68" bestFit="1" customWidth="1"/>
  </cols>
  <sheetData>
    <row r="1" spans="1:6" s="5" customFormat="1" ht="27" customHeight="1" thickBot="1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66"/>
    </row>
    <row r="2" spans="1:6" s="5" customFormat="1" ht="21" customHeight="1">
      <c r="A2" s="5" t="s">
        <v>5</v>
      </c>
      <c r="B2" s="6">
        <v>414</v>
      </c>
      <c r="C2" s="7" t="s">
        <v>6</v>
      </c>
      <c r="D2" s="8">
        <v>7.4</v>
      </c>
      <c r="E2" s="9">
        <f>(((100/((D2+0.24)*1.7))-4.341)/0.00676)/49</f>
        <v>10.138916931746827</v>
      </c>
      <c r="F2" s="66"/>
    </row>
    <row r="3" spans="1:6" s="5" customFormat="1" ht="21" customHeight="1">
      <c r="A3" s="10" t="s">
        <v>7</v>
      </c>
      <c r="B3" s="11">
        <v>415</v>
      </c>
      <c r="C3" s="12" t="s">
        <v>8</v>
      </c>
      <c r="D3" s="13">
        <v>7.64</v>
      </c>
      <c r="E3" s="14">
        <f>(((100/(D3*1.7))-4.341)/0.00676)/49</f>
        <v>10.13891693174683</v>
      </c>
      <c r="F3" s="66"/>
    </row>
    <row r="4" spans="1:6" s="5" customFormat="1" ht="21" customHeight="1">
      <c r="A4" s="5" t="s">
        <v>9</v>
      </c>
      <c r="B4" s="6">
        <v>416</v>
      </c>
      <c r="C4" s="7" t="s">
        <v>10</v>
      </c>
      <c r="D4" s="8">
        <v>9.8</v>
      </c>
      <c r="E4" s="15">
        <f>(((100/((D4+0.24)*1.3)-4.341)/0.00676)/49)</f>
        <v>10.024939766076653</v>
      </c>
      <c r="F4" s="66"/>
    </row>
    <row r="5" spans="1:6" s="5" customFormat="1" ht="21" customHeight="1">
      <c r="A5" s="10" t="s">
        <v>11</v>
      </c>
      <c r="B5" s="11">
        <v>417</v>
      </c>
      <c r="C5" s="12" t="s">
        <v>12</v>
      </c>
      <c r="D5" s="16">
        <v>10.04</v>
      </c>
      <c r="E5" s="17">
        <f>(((100/(D5*1.3)-4.341)/0.00676)/49)</f>
        <v>10.024939766076654</v>
      </c>
      <c r="F5" s="66"/>
    </row>
    <row r="6" spans="1:6" s="5" customFormat="1" ht="21" customHeight="1">
      <c r="A6" s="5" t="s">
        <v>13</v>
      </c>
      <c r="B6" s="6">
        <v>410</v>
      </c>
      <c r="C6" s="7" t="s">
        <v>14</v>
      </c>
      <c r="D6" s="8">
        <v>12.8</v>
      </c>
      <c r="E6" s="15">
        <f>(((100/(D6+0.24)-4.341)/0.00676)/49)</f>
        <v>10.046225263982963</v>
      </c>
      <c r="F6" s="66"/>
    </row>
    <row r="7" spans="1:6" s="5" customFormat="1" ht="21" customHeight="1">
      <c r="A7" s="10" t="s">
        <v>15</v>
      </c>
      <c r="B7" s="11">
        <v>411</v>
      </c>
      <c r="C7" s="12" t="s">
        <v>16</v>
      </c>
      <c r="D7" s="13">
        <v>9.58</v>
      </c>
      <c r="E7" s="17">
        <f>(((100/D7)-4.341)/0.00676)/49</f>
        <v>18.407841327041123</v>
      </c>
      <c r="F7" s="66" t="s">
        <v>101</v>
      </c>
    </row>
    <row r="8" spans="1:6" s="5" customFormat="1" ht="21" customHeight="1">
      <c r="A8" s="5" t="s">
        <v>17</v>
      </c>
      <c r="B8" s="6">
        <v>419</v>
      </c>
      <c r="C8" s="7" t="s">
        <v>18</v>
      </c>
      <c r="D8" s="18">
        <v>196.2</v>
      </c>
      <c r="E8" s="19">
        <f>(((1000/D8)-2.158)/0.006)/49</f>
        <v>9.996054283079186</v>
      </c>
      <c r="F8" s="67"/>
    </row>
    <row r="9" spans="1:6" s="5" customFormat="1" ht="21" customHeight="1">
      <c r="A9" s="5" t="s">
        <v>19</v>
      </c>
      <c r="B9" s="6">
        <v>412</v>
      </c>
      <c r="C9" s="7" t="s">
        <v>20</v>
      </c>
      <c r="D9" s="18">
        <v>423.4</v>
      </c>
      <c r="E9" s="19">
        <f>(((2000/D9)-1.784)/0.006)/49</f>
        <v>9.998862464211005</v>
      </c>
      <c r="F9" s="66"/>
    </row>
    <row r="10" spans="1:6" s="5" customFormat="1" ht="21" customHeight="1">
      <c r="A10" s="10" t="s">
        <v>21</v>
      </c>
      <c r="B10" s="11">
        <v>413</v>
      </c>
      <c r="C10" s="12" t="s">
        <v>22</v>
      </c>
      <c r="D10" s="13">
        <v>707.5</v>
      </c>
      <c r="E10" s="14">
        <f>(((3000/D10)-1.3)/0.006)/49</f>
        <v>10.00096151534819</v>
      </c>
      <c r="F10" s="66"/>
    </row>
    <row r="11" spans="1:6" s="5" customFormat="1" ht="21" customHeight="1">
      <c r="A11" s="5" t="s">
        <v>23</v>
      </c>
      <c r="B11" s="6" t="s">
        <v>24</v>
      </c>
      <c r="C11" s="7" t="s">
        <v>25</v>
      </c>
      <c r="D11" s="18">
        <v>8.95</v>
      </c>
      <c r="E11" s="20">
        <f>D11*2</f>
        <v>17.9</v>
      </c>
      <c r="F11" s="66" t="s">
        <v>101</v>
      </c>
    </row>
    <row r="12" spans="1:6" s="5" customFormat="1" ht="21" customHeight="1">
      <c r="A12" s="10" t="s">
        <v>26</v>
      </c>
      <c r="B12" s="11">
        <v>423</v>
      </c>
      <c r="C12" s="12" t="s">
        <v>27</v>
      </c>
      <c r="D12" s="13">
        <v>2.5</v>
      </c>
      <c r="E12" s="21">
        <f>D12*4</f>
        <v>10</v>
      </c>
      <c r="F12" s="66"/>
    </row>
    <row r="13" spans="1:6" s="5" customFormat="1" ht="21" customHeight="1">
      <c r="A13" s="22" t="s">
        <v>28</v>
      </c>
      <c r="B13" s="23" t="s">
        <v>29</v>
      </c>
      <c r="C13" s="82" t="s">
        <v>107</v>
      </c>
      <c r="D13" s="83">
        <v>23.12</v>
      </c>
      <c r="E13" s="84">
        <f>D13*0.8</f>
        <v>18.496000000000002</v>
      </c>
      <c r="F13" s="66" t="s">
        <v>101</v>
      </c>
    </row>
    <row r="14" spans="1:6" s="5" customFormat="1" ht="21" customHeight="1">
      <c r="A14" s="24" t="s">
        <v>30</v>
      </c>
      <c r="B14" s="6" t="s">
        <v>31</v>
      </c>
      <c r="C14" s="25" t="s">
        <v>32</v>
      </c>
      <c r="D14" s="26">
        <v>45</v>
      </c>
      <c r="E14" s="20">
        <f>D14/4.5</f>
        <v>10</v>
      </c>
      <c r="F14" s="66"/>
    </row>
    <row r="15" spans="1:6" s="5" customFormat="1" ht="21" customHeight="1" thickBot="1">
      <c r="A15" s="27" t="s">
        <v>33</v>
      </c>
      <c r="B15" s="28" t="s">
        <v>34</v>
      </c>
      <c r="C15" s="29" t="s">
        <v>35</v>
      </c>
      <c r="D15" s="30">
        <v>25</v>
      </c>
      <c r="E15" s="31">
        <f>D15/2.5</f>
        <v>10</v>
      </c>
      <c r="F15" s="66"/>
    </row>
    <row r="16" spans="1:6" s="5" customFormat="1" ht="18" customHeight="1" thickBot="1" thickTop="1">
      <c r="A16" s="32"/>
      <c r="B16" s="33"/>
      <c r="C16" s="34"/>
      <c r="D16" s="35"/>
      <c r="E16" s="36"/>
      <c r="F16" s="66"/>
    </row>
    <row r="17" spans="1:6" s="5" customFormat="1" ht="33.75" customHeight="1" thickBot="1" thickTop="1">
      <c r="A17" s="1" t="s">
        <v>36</v>
      </c>
      <c r="B17" s="2" t="s">
        <v>1</v>
      </c>
      <c r="C17" s="1" t="s">
        <v>37</v>
      </c>
      <c r="D17" s="3" t="s">
        <v>3</v>
      </c>
      <c r="E17" s="4" t="s">
        <v>4</v>
      </c>
      <c r="F17" s="66"/>
    </row>
    <row r="18" spans="1:6" s="5" customFormat="1" ht="21" customHeight="1">
      <c r="A18" s="5" t="s">
        <v>5</v>
      </c>
      <c r="B18" s="6">
        <v>414</v>
      </c>
      <c r="C18" s="7" t="s">
        <v>38</v>
      </c>
      <c r="D18" s="37">
        <v>7.9</v>
      </c>
      <c r="E18" s="15">
        <f>(((100/((D18+0.24)*1.6)-4.341)/0.00676)/49)</f>
        <v>10.074666942798808</v>
      </c>
      <c r="F18" s="66"/>
    </row>
    <row r="19" spans="1:6" s="5" customFormat="1" ht="21" customHeight="1">
      <c r="A19" s="10" t="s">
        <v>7</v>
      </c>
      <c r="B19" s="11">
        <v>415</v>
      </c>
      <c r="C19" s="12" t="s">
        <v>39</v>
      </c>
      <c r="D19" s="38">
        <v>8.14</v>
      </c>
      <c r="E19" s="17">
        <f>(((100/(D19*1.6)-4.341)/0.00676)/49)</f>
        <v>10.074666942798808</v>
      </c>
      <c r="F19" s="66"/>
    </row>
    <row r="20" spans="1:6" s="5" customFormat="1" ht="21" customHeight="1">
      <c r="A20" s="5" t="s">
        <v>9</v>
      </c>
      <c r="B20" s="6">
        <v>416</v>
      </c>
      <c r="C20" s="7" t="s">
        <v>40</v>
      </c>
      <c r="D20" s="8">
        <v>10.6</v>
      </c>
      <c r="E20" s="15">
        <f>(((100/((D20+0.24)*1.2)-4.341)/0.00676)/49)</f>
        <v>10.103178588844214</v>
      </c>
      <c r="F20" s="66"/>
    </row>
    <row r="21" spans="1:6" s="5" customFormat="1" ht="21" customHeight="1">
      <c r="A21" s="10" t="s">
        <v>11</v>
      </c>
      <c r="B21" s="11">
        <v>417</v>
      </c>
      <c r="C21" s="12" t="s">
        <v>41</v>
      </c>
      <c r="D21" s="16">
        <v>10.84</v>
      </c>
      <c r="E21" s="17">
        <f>(((100/(D21*1.2)-4.341)/0.00676)/49)</f>
        <v>10.103178588844214</v>
      </c>
      <c r="F21" s="66"/>
    </row>
    <row r="22" spans="1:6" s="5" customFormat="1" ht="21" customHeight="1">
      <c r="A22" s="5" t="s">
        <v>13</v>
      </c>
      <c r="B22" s="6">
        <v>410</v>
      </c>
      <c r="C22" s="39" t="s">
        <v>42</v>
      </c>
      <c r="D22" s="40">
        <v>14.2</v>
      </c>
      <c r="E22" s="15">
        <f>(((100/((D22+0.24)*0.9)-4.341)/0.00676)/49)</f>
        <v>10.124608394828476</v>
      </c>
      <c r="F22" s="66"/>
    </row>
    <row r="23" spans="1:6" s="5" customFormat="1" ht="21" customHeight="1">
      <c r="A23" s="10" t="s">
        <v>15</v>
      </c>
      <c r="B23" s="11">
        <v>411</v>
      </c>
      <c r="C23" s="41" t="s">
        <v>43</v>
      </c>
      <c r="D23" s="42">
        <v>10.49</v>
      </c>
      <c r="E23" s="17">
        <f>(((100/(D23*0.9)-4.341)/0.00676)/49)</f>
        <v>18.871809849873724</v>
      </c>
      <c r="F23" s="66" t="s">
        <v>101</v>
      </c>
    </row>
    <row r="24" spans="1:6" s="5" customFormat="1" ht="21" customHeight="1">
      <c r="A24" s="5" t="s">
        <v>17</v>
      </c>
      <c r="B24" s="6">
        <v>419</v>
      </c>
      <c r="C24" s="7" t="s">
        <v>44</v>
      </c>
      <c r="D24" s="18">
        <v>212.9</v>
      </c>
      <c r="E24" s="43">
        <f>(((1000/D24)-1.9231)/0.00566)/49</f>
        <v>10.00195018481113</v>
      </c>
      <c r="F24" s="66"/>
    </row>
    <row r="25" spans="1:6" s="5" customFormat="1" ht="21" customHeight="1">
      <c r="A25" s="10" t="s">
        <v>19</v>
      </c>
      <c r="B25" s="11">
        <v>412</v>
      </c>
      <c r="C25" s="12" t="s">
        <v>45</v>
      </c>
      <c r="D25" s="13">
        <v>459</v>
      </c>
      <c r="E25" s="14">
        <f>(((2000/D25)-1.584)/0.00566)/49</f>
        <v>9.999633932882142</v>
      </c>
      <c r="F25" s="66"/>
    </row>
    <row r="26" spans="1:6" s="5" customFormat="1" ht="21" customHeight="1">
      <c r="A26" s="5" t="s">
        <v>23</v>
      </c>
      <c r="B26" s="6" t="s">
        <v>24</v>
      </c>
      <c r="C26" s="7" t="s">
        <v>46</v>
      </c>
      <c r="D26" s="18">
        <v>7.52</v>
      </c>
      <c r="E26" s="20">
        <f>D26*2.2</f>
        <v>16.544</v>
      </c>
      <c r="F26" s="66" t="s">
        <v>101</v>
      </c>
    </row>
    <row r="27" spans="1:6" s="5" customFormat="1" ht="21" customHeight="1">
      <c r="A27" s="10" t="s">
        <v>26</v>
      </c>
      <c r="B27" s="11">
        <v>423</v>
      </c>
      <c r="C27" s="12" t="s">
        <v>47</v>
      </c>
      <c r="D27" s="13">
        <v>2.28</v>
      </c>
      <c r="E27" s="21">
        <f>D27*4.4</f>
        <v>10.032</v>
      </c>
      <c r="F27" s="66"/>
    </row>
    <row r="28" spans="1:6" s="5" customFormat="1" ht="21" customHeight="1">
      <c r="A28" s="22" t="s">
        <v>28</v>
      </c>
      <c r="B28" s="23" t="s">
        <v>29</v>
      </c>
      <c r="C28" s="82" t="s">
        <v>108</v>
      </c>
      <c r="D28" s="85">
        <v>22.63</v>
      </c>
      <c r="E28" s="86">
        <f>D28*1</f>
        <v>22.63</v>
      </c>
      <c r="F28" s="66" t="s">
        <v>101</v>
      </c>
    </row>
    <row r="29" spans="1:6" s="5" customFormat="1" ht="21" customHeight="1">
      <c r="A29" s="24" t="s">
        <v>30</v>
      </c>
      <c r="B29" s="6" t="s">
        <v>31</v>
      </c>
      <c r="C29" s="25" t="s">
        <v>48</v>
      </c>
      <c r="D29" s="26">
        <v>35</v>
      </c>
      <c r="E29" s="20">
        <f>D29/3.5</f>
        <v>10</v>
      </c>
      <c r="F29" s="66"/>
    </row>
    <row r="30" spans="1:6" s="5" customFormat="1" ht="21" customHeight="1" thickBot="1">
      <c r="A30" s="27" t="s">
        <v>33</v>
      </c>
      <c r="B30" s="28" t="s">
        <v>34</v>
      </c>
      <c r="C30" s="29" t="s">
        <v>49</v>
      </c>
      <c r="D30" s="30">
        <v>15</v>
      </c>
      <c r="E30" s="31">
        <f>D30/1.5</f>
        <v>10</v>
      </c>
      <c r="F30" s="66"/>
    </row>
    <row r="31" spans="2:6" s="5" customFormat="1" ht="18" customHeight="1" thickBot="1" thickTop="1">
      <c r="B31" s="44"/>
      <c r="D31" s="45"/>
      <c r="E31" s="45"/>
      <c r="F31" s="66"/>
    </row>
    <row r="32" spans="1:6" s="5" customFormat="1" ht="27" customHeight="1" thickBot="1" thickTop="1">
      <c r="A32" s="46" t="s">
        <v>50</v>
      </c>
      <c r="B32" s="47" t="s">
        <v>1</v>
      </c>
      <c r="C32" s="46" t="s">
        <v>51</v>
      </c>
      <c r="D32" s="48" t="s">
        <v>3</v>
      </c>
      <c r="E32" s="49" t="s">
        <v>4</v>
      </c>
      <c r="F32" s="66"/>
    </row>
    <row r="33" spans="1:6" s="5" customFormat="1" ht="21" customHeight="1">
      <c r="A33" s="5" t="s">
        <v>52</v>
      </c>
      <c r="B33" s="6">
        <v>541</v>
      </c>
      <c r="C33" s="5" t="s">
        <v>53</v>
      </c>
      <c r="D33" s="37">
        <v>44.94</v>
      </c>
      <c r="E33" s="50">
        <f>12*(((100/(1.2*D33))-0.3))</f>
        <v>18.651891410769913</v>
      </c>
      <c r="F33" s="66" t="s">
        <v>101</v>
      </c>
    </row>
    <row r="34" spans="1:6" ht="21" customHeight="1">
      <c r="A34" s="5" t="s">
        <v>54</v>
      </c>
      <c r="B34" s="6">
        <v>545</v>
      </c>
      <c r="C34" s="5" t="s">
        <v>55</v>
      </c>
      <c r="D34" s="37">
        <v>20.3</v>
      </c>
      <c r="E34" s="50">
        <f>12*(((100/(1.2*(2*D34+3.5)))-0.3))</f>
        <v>19.075736961451245</v>
      </c>
      <c r="F34" s="66" t="s">
        <v>101</v>
      </c>
    </row>
    <row r="35" spans="1:5" ht="21" customHeight="1">
      <c r="A35" s="10" t="s">
        <v>56</v>
      </c>
      <c r="B35" s="11">
        <v>542</v>
      </c>
      <c r="C35" s="10" t="s">
        <v>57</v>
      </c>
      <c r="D35" s="51">
        <v>16.8</v>
      </c>
      <c r="E35" s="52">
        <f>12*(((100/(1.2*(4*D35+6.3)))-0.3))</f>
        <v>10.005442176870748</v>
      </c>
    </row>
    <row r="36" spans="1:6" ht="21" customHeight="1">
      <c r="A36" s="5" t="s">
        <v>58</v>
      </c>
      <c r="B36" s="6">
        <v>521</v>
      </c>
      <c r="C36" s="5" t="s">
        <v>59</v>
      </c>
      <c r="D36" s="37">
        <v>55.61</v>
      </c>
      <c r="E36" s="50">
        <f>12*(((100/(1.2*(D36-14.5)))-0.3))</f>
        <v>20.724981756263684</v>
      </c>
      <c r="F36" s="66" t="s">
        <v>101</v>
      </c>
    </row>
    <row r="37" spans="1:6" ht="21" customHeight="1">
      <c r="A37" s="5" t="s">
        <v>60</v>
      </c>
      <c r="B37" s="6">
        <v>525</v>
      </c>
      <c r="C37" s="5" t="s">
        <v>61</v>
      </c>
      <c r="D37" s="37">
        <v>25.25</v>
      </c>
      <c r="E37" s="50">
        <f>12*(((100/(1.2*(2*D37-10.5)))-0.3))</f>
        <v>21.400000000000002</v>
      </c>
      <c r="F37" s="66" t="s">
        <v>101</v>
      </c>
    </row>
    <row r="38" spans="1:5" ht="21" customHeight="1">
      <c r="A38" s="10" t="s">
        <v>62</v>
      </c>
      <c r="B38" s="11">
        <v>522</v>
      </c>
      <c r="C38" s="10" t="s">
        <v>63</v>
      </c>
      <c r="D38" s="51">
        <v>21.8</v>
      </c>
      <c r="E38" s="52">
        <f>12*(((100/(1.2*(4*D38-13.7)))-0.3))</f>
        <v>10.005442176870748</v>
      </c>
    </row>
    <row r="39" spans="1:6" ht="21" customHeight="1">
      <c r="A39" s="5" t="s">
        <v>64</v>
      </c>
      <c r="B39" s="6">
        <v>531</v>
      </c>
      <c r="C39" s="5" t="s">
        <v>65</v>
      </c>
      <c r="D39" s="37">
        <v>48.94</v>
      </c>
      <c r="E39" s="50">
        <f>12*(((100/(1.2*(D39-7.5)))-0.3))</f>
        <v>20.531274131274134</v>
      </c>
      <c r="F39" s="66" t="s">
        <v>101</v>
      </c>
    </row>
    <row r="40" spans="1:6" ht="21" customHeight="1">
      <c r="A40" s="5" t="s">
        <v>66</v>
      </c>
      <c r="B40" s="6">
        <v>535</v>
      </c>
      <c r="C40" s="5" t="s">
        <v>67</v>
      </c>
      <c r="D40" s="37">
        <v>22.61</v>
      </c>
      <c r="E40" s="50">
        <f>12*(((100/(1.2*(2*D40-4.5)))-0.3))</f>
        <v>20.95795677799607</v>
      </c>
      <c r="F40" s="66" t="s">
        <v>101</v>
      </c>
    </row>
    <row r="41" spans="1:5" ht="21" customHeight="1">
      <c r="A41" s="10" t="s">
        <v>68</v>
      </c>
      <c r="B41" s="11">
        <v>532</v>
      </c>
      <c r="C41" s="10" t="s">
        <v>69</v>
      </c>
      <c r="D41" s="51">
        <v>19.8</v>
      </c>
      <c r="E41" s="52">
        <f>12*(((100/(1.2*(4*D41-5.7)))-0.3))</f>
        <v>10.005442176870748</v>
      </c>
    </row>
    <row r="42" spans="1:6" ht="21" customHeight="1">
      <c r="A42" s="5" t="s">
        <v>70</v>
      </c>
      <c r="B42" s="6">
        <v>561</v>
      </c>
      <c r="C42" s="5" t="s">
        <v>71</v>
      </c>
      <c r="D42" s="37">
        <v>48.48</v>
      </c>
      <c r="E42" s="50">
        <f>12*(((100/(1.2*(D42-5.5)))-0.3))</f>
        <v>19.666635644485808</v>
      </c>
      <c r="F42" s="66" t="s">
        <v>101</v>
      </c>
    </row>
    <row r="43" spans="1:6" ht="21" customHeight="1">
      <c r="A43" s="5" t="s">
        <v>72</v>
      </c>
      <c r="B43" s="6">
        <v>565</v>
      </c>
      <c r="C43" s="5" t="s">
        <v>73</v>
      </c>
      <c r="D43" s="37">
        <v>21.8</v>
      </c>
      <c r="E43" s="50">
        <f>12*(((100/(1.2*(2*D43-1.5)))-0.3))</f>
        <v>20.15296912114014</v>
      </c>
      <c r="F43" s="66" t="s">
        <v>101</v>
      </c>
    </row>
    <row r="44" spans="1:5" ht="21" customHeight="1">
      <c r="A44" s="24" t="s">
        <v>74</v>
      </c>
      <c r="B44" s="6">
        <v>562</v>
      </c>
      <c r="C44" s="24" t="s">
        <v>75</v>
      </c>
      <c r="D44" s="53">
        <v>18.8</v>
      </c>
      <c r="E44" s="50">
        <f>12*(((100/(1.2*(4*D44-1.7)))-0.3))</f>
        <v>10.005442176870748</v>
      </c>
    </row>
    <row r="45" spans="1:5" ht="21" customHeight="1">
      <c r="A45" s="10" t="s">
        <v>76</v>
      </c>
      <c r="B45" s="11">
        <v>552</v>
      </c>
      <c r="C45" s="10" t="s">
        <v>77</v>
      </c>
      <c r="D45" s="51">
        <v>157</v>
      </c>
      <c r="E45" s="52">
        <f>12*(((100/(1.2*(0.5*D45-5)))-0.3))</f>
        <v>10.005442176870748</v>
      </c>
    </row>
    <row r="46" spans="1:5" ht="21" customHeight="1">
      <c r="A46" s="5" t="s">
        <v>78</v>
      </c>
      <c r="B46" s="6">
        <v>512</v>
      </c>
      <c r="C46" s="5" t="s">
        <v>79</v>
      </c>
      <c r="D46" s="37">
        <v>18</v>
      </c>
      <c r="E46" s="50">
        <f>12*(((100/(1.2*(4*D46+1.5)))-0.3))</f>
        <v>10.005442176870748</v>
      </c>
    </row>
    <row r="47" spans="1:5" ht="21" customHeight="1">
      <c r="A47" s="5" t="s">
        <v>80</v>
      </c>
      <c r="B47" s="6">
        <v>511</v>
      </c>
      <c r="C47" s="5" t="s">
        <v>81</v>
      </c>
      <c r="D47" s="37">
        <v>9.5</v>
      </c>
      <c r="E47" s="50">
        <f>12*(((100/(1.2*(8*D47-2.5)))-0.3))</f>
        <v>10.005442176870748</v>
      </c>
    </row>
    <row r="48" spans="1:5" ht="21" customHeight="1" thickBot="1">
      <c r="A48" s="27" t="s">
        <v>82</v>
      </c>
      <c r="B48" s="28">
        <v>510</v>
      </c>
      <c r="C48" s="5" t="s">
        <v>83</v>
      </c>
      <c r="D48" s="54">
        <v>6.75</v>
      </c>
      <c r="E48" s="50">
        <f>12*(((100/(1.2*(10*D48+6)))-0.3))</f>
        <v>10.005442176870748</v>
      </c>
    </row>
    <row r="49" spans="1:5" ht="21" customHeight="1" thickBot="1" thickTop="1">
      <c r="A49" s="32"/>
      <c r="B49" s="33"/>
      <c r="C49" s="34"/>
      <c r="D49" s="35"/>
      <c r="E49" s="36"/>
    </row>
    <row r="50" spans="1:5" ht="21" customHeight="1" thickBot="1" thickTop="1">
      <c r="A50" s="55" t="s">
        <v>84</v>
      </c>
      <c r="B50" s="2" t="s">
        <v>1</v>
      </c>
      <c r="C50" s="55" t="s">
        <v>85</v>
      </c>
      <c r="D50" s="3" t="s">
        <v>3</v>
      </c>
      <c r="E50" s="2" t="s">
        <v>86</v>
      </c>
    </row>
    <row r="51" spans="1:6" ht="21" customHeight="1">
      <c r="A51" s="5" t="s">
        <v>52</v>
      </c>
      <c r="B51" s="6">
        <v>541</v>
      </c>
      <c r="C51" s="56" t="s">
        <v>87</v>
      </c>
      <c r="D51" s="57">
        <v>51.01</v>
      </c>
      <c r="E51" s="58">
        <f>12*(((100/(1.2*(D51-6.5)))-0.3))</f>
        <v>18.86686137946529</v>
      </c>
      <c r="F51" s="66" t="s">
        <v>101</v>
      </c>
    </row>
    <row r="52" spans="1:6" ht="21" customHeight="1">
      <c r="A52" s="5" t="s">
        <v>54</v>
      </c>
      <c r="B52" s="6">
        <v>545</v>
      </c>
      <c r="C52" s="56" t="s">
        <v>88</v>
      </c>
      <c r="D52" s="57">
        <v>23.25</v>
      </c>
      <c r="E52" s="58">
        <f>12*(((100/(1.2*(2*D52-2.5)))-0.3))</f>
        <v>19.12727272727273</v>
      </c>
      <c r="F52" s="66" t="s">
        <v>101</v>
      </c>
    </row>
    <row r="53" spans="1:5" ht="21" customHeight="1">
      <c r="A53" s="10" t="s">
        <v>56</v>
      </c>
      <c r="B53" s="11">
        <v>542</v>
      </c>
      <c r="C53" s="10" t="s">
        <v>57</v>
      </c>
      <c r="D53" s="51">
        <v>16.8</v>
      </c>
      <c r="E53" s="52">
        <f>12*(((100/(1.2*(4*D53+6.3)))-0.3))</f>
        <v>10.005442176870748</v>
      </c>
    </row>
    <row r="54" spans="1:6" ht="21" customHeight="1">
      <c r="A54" s="5" t="s">
        <v>58</v>
      </c>
      <c r="B54" s="6">
        <v>521</v>
      </c>
      <c r="C54" s="56" t="s">
        <v>89</v>
      </c>
      <c r="D54" s="57">
        <v>62.7</v>
      </c>
      <c r="E54" s="58">
        <f>12*(((100/(1.2*(D54-22.5)))-0.3))</f>
        <v>21.275621890547264</v>
      </c>
      <c r="F54" s="66" t="s">
        <v>101</v>
      </c>
    </row>
    <row r="55" spans="1:6" ht="21" customHeight="1">
      <c r="A55" s="5" t="s">
        <v>60</v>
      </c>
      <c r="B55" s="6">
        <v>525</v>
      </c>
      <c r="C55" s="56" t="s">
        <v>90</v>
      </c>
      <c r="D55" s="57">
        <v>28.8</v>
      </c>
      <c r="E55" s="58">
        <f>12*(((100/(1.2*(2*D55-18.5)))-0.3))</f>
        <v>21.97544757033248</v>
      </c>
      <c r="F55" s="66" t="s">
        <v>101</v>
      </c>
    </row>
    <row r="56" spans="1:5" ht="21" customHeight="1">
      <c r="A56" s="10" t="s">
        <v>62</v>
      </c>
      <c r="B56" s="11">
        <v>522</v>
      </c>
      <c r="C56" s="10" t="s">
        <v>63</v>
      </c>
      <c r="D56" s="51">
        <v>21.8</v>
      </c>
      <c r="E56" s="52">
        <f>12*(((100/(1.2*(4*D56-13.7)))-0.3))</f>
        <v>10.005442176870748</v>
      </c>
    </row>
    <row r="57" spans="1:6" ht="21" customHeight="1">
      <c r="A57" s="5" t="s">
        <v>64</v>
      </c>
      <c r="B57" s="6">
        <v>531</v>
      </c>
      <c r="C57" s="5" t="s">
        <v>91</v>
      </c>
      <c r="D57" s="37">
        <v>55.23</v>
      </c>
      <c r="E57" s="50">
        <f>12*(((100/(1.2*(D57-13.5)))-0.3))</f>
        <v>20.36357536544453</v>
      </c>
      <c r="F57" s="66" t="s">
        <v>101</v>
      </c>
    </row>
    <row r="58" spans="1:6" ht="21" customHeight="1">
      <c r="A58" s="5" t="s">
        <v>66</v>
      </c>
      <c r="B58" s="6">
        <v>535</v>
      </c>
      <c r="C58" s="5" t="s">
        <v>61</v>
      </c>
      <c r="D58" s="37">
        <v>25.7</v>
      </c>
      <c r="E58" s="50">
        <f>12*(((100/(1.2*(2*D58-10.5)))-0.3))</f>
        <v>20.84987775061125</v>
      </c>
      <c r="F58" s="66" t="s">
        <v>101</v>
      </c>
    </row>
    <row r="59" spans="1:5" ht="21" customHeight="1">
      <c r="A59" s="10" t="s">
        <v>68</v>
      </c>
      <c r="B59" s="11">
        <v>532</v>
      </c>
      <c r="C59" s="10" t="s">
        <v>69</v>
      </c>
      <c r="D59" s="51">
        <v>19.8</v>
      </c>
      <c r="E59" s="52">
        <f>12*(((100/(1.2*(4*D59-5.7)))-0.3))</f>
        <v>10.005442176870748</v>
      </c>
    </row>
    <row r="60" spans="1:6" ht="21" customHeight="1">
      <c r="A60" s="5" t="s">
        <v>70</v>
      </c>
      <c r="B60" s="6">
        <v>561</v>
      </c>
      <c r="C60" s="5" t="s">
        <v>92</v>
      </c>
      <c r="D60" s="37">
        <v>55.05</v>
      </c>
      <c r="E60" s="50">
        <f>12*(((100/(1.2*(D60-11.5)))-0.3))</f>
        <v>19.36211251435132</v>
      </c>
      <c r="F60" s="66" t="s">
        <v>101</v>
      </c>
    </row>
    <row r="61" spans="1:6" ht="21" customHeight="1">
      <c r="A61" s="5" t="s">
        <v>72</v>
      </c>
      <c r="B61" s="6">
        <v>565</v>
      </c>
      <c r="C61" s="5" t="s">
        <v>93</v>
      </c>
      <c r="D61" s="37">
        <v>24.38</v>
      </c>
      <c r="E61" s="50">
        <f>12*(((100/(1.2*(2*D61-7.5)))-0.3))</f>
        <v>20.636548715462922</v>
      </c>
      <c r="F61" s="66" t="s">
        <v>101</v>
      </c>
    </row>
    <row r="62" spans="1:5" ht="21" customHeight="1">
      <c r="A62" s="24" t="s">
        <v>74</v>
      </c>
      <c r="B62" s="6">
        <v>562</v>
      </c>
      <c r="C62" s="24" t="s">
        <v>75</v>
      </c>
      <c r="D62" s="53">
        <v>18.8</v>
      </c>
      <c r="E62" s="50">
        <f>12*(((100/(1.2*(4*D62-1.7)))-0.3))</f>
        <v>10.005442176870748</v>
      </c>
    </row>
    <row r="63" spans="1:5" ht="21" customHeight="1">
      <c r="A63" s="10" t="s">
        <v>76</v>
      </c>
      <c r="B63" s="11">
        <v>552</v>
      </c>
      <c r="C63" s="10" t="s">
        <v>94</v>
      </c>
      <c r="D63" s="51">
        <v>168</v>
      </c>
      <c r="E63" s="52">
        <f>12*(((100/(1.2*(0.5*D63-10.5)))-0.3))</f>
        <v>10.005442176870748</v>
      </c>
    </row>
    <row r="64" spans="1:5" ht="21" customHeight="1">
      <c r="A64" s="5" t="s">
        <v>78</v>
      </c>
      <c r="B64" s="6">
        <v>512</v>
      </c>
      <c r="C64" s="56" t="s">
        <v>95</v>
      </c>
      <c r="D64" s="57">
        <v>19</v>
      </c>
      <c r="E64" s="58">
        <f>12*(((100/(1.2*(4*D64-2.5)))-0.3))</f>
        <v>10.005442176870748</v>
      </c>
    </row>
    <row r="65" spans="1:5" ht="21" customHeight="1">
      <c r="A65" s="5" t="s">
        <v>80</v>
      </c>
      <c r="B65" s="6">
        <v>511</v>
      </c>
      <c r="C65" s="56" t="s">
        <v>96</v>
      </c>
      <c r="D65" s="57">
        <v>10.5</v>
      </c>
      <c r="E65" s="58">
        <f>12*(((100/(1.2*(8*D65-10.5)))-0.3))</f>
        <v>10.005442176870748</v>
      </c>
    </row>
    <row r="66" spans="1:5" ht="21" customHeight="1" thickBot="1">
      <c r="A66" s="27" t="s">
        <v>82</v>
      </c>
      <c r="B66" s="28">
        <v>510</v>
      </c>
      <c r="C66" s="27" t="s">
        <v>83</v>
      </c>
      <c r="D66" s="54">
        <v>6.75</v>
      </c>
      <c r="E66" s="59">
        <f>12*(((100/(1.2*(10*D66+6)))-0.3))</f>
        <v>10.005442176870748</v>
      </c>
    </row>
    <row r="67" ht="14.25" thickBot="1" thickTop="1"/>
    <row r="68" spans="1:5" ht="30.75">
      <c r="A68" s="73" t="s">
        <v>97</v>
      </c>
      <c r="B68" s="74" t="s">
        <v>1</v>
      </c>
      <c r="C68" s="77" t="s">
        <v>98</v>
      </c>
      <c r="D68" s="78" t="s">
        <v>3</v>
      </c>
      <c r="E68" s="79" t="s">
        <v>4</v>
      </c>
    </row>
    <row r="69" spans="1:5" ht="21" customHeight="1">
      <c r="A69" s="90" t="s">
        <v>110</v>
      </c>
      <c r="B69" s="75">
        <v>710</v>
      </c>
      <c r="C69" s="72" t="s">
        <v>112</v>
      </c>
      <c r="D69" s="70">
        <v>130</v>
      </c>
      <c r="E69" s="80">
        <f>D69*0.108</f>
        <v>14.04</v>
      </c>
    </row>
    <row r="70" spans="1:5" ht="21" customHeight="1">
      <c r="A70" s="76" t="s">
        <v>103</v>
      </c>
      <c r="B70" s="6">
        <v>720</v>
      </c>
      <c r="C70" s="69" t="s">
        <v>111</v>
      </c>
      <c r="D70" s="71">
        <v>100</v>
      </c>
      <c r="E70" s="62">
        <f>D70*0.14</f>
        <v>14.000000000000002</v>
      </c>
    </row>
    <row r="71" spans="1:5" ht="21" customHeight="1">
      <c r="A71" s="76" t="s">
        <v>104</v>
      </c>
      <c r="B71" s="6">
        <v>730</v>
      </c>
      <c r="C71" s="69" t="s">
        <v>114</v>
      </c>
      <c r="D71" s="71">
        <v>45</v>
      </c>
      <c r="E71" s="62">
        <f>D71*0.312</f>
        <v>14.04</v>
      </c>
    </row>
    <row r="72" spans="1:5" ht="21" customHeight="1" thickBot="1">
      <c r="A72" s="81" t="s">
        <v>105</v>
      </c>
      <c r="B72" s="28">
        <v>740</v>
      </c>
      <c r="C72" s="65" t="s">
        <v>113</v>
      </c>
      <c r="D72" s="63">
        <v>80</v>
      </c>
      <c r="E72" s="64">
        <f>D72*0.175</f>
        <v>14</v>
      </c>
    </row>
    <row r="73" ht="14.25" thickBot="1" thickTop="1"/>
    <row r="74" spans="1:5" ht="32.25" thickBot="1" thickTop="1">
      <c r="A74" s="46" t="s">
        <v>99</v>
      </c>
      <c r="B74" s="47" t="s">
        <v>1</v>
      </c>
      <c r="C74" s="46" t="s">
        <v>100</v>
      </c>
      <c r="D74" s="48" t="s">
        <v>3</v>
      </c>
      <c r="E74" s="49" t="s">
        <v>4</v>
      </c>
    </row>
    <row r="75" spans="1:5" ht="21" customHeight="1" thickBot="1">
      <c r="A75" s="27" t="s">
        <v>106</v>
      </c>
      <c r="B75" s="28" t="s">
        <v>102</v>
      </c>
      <c r="C75" s="87" t="s">
        <v>109</v>
      </c>
      <c r="D75" s="88">
        <v>100</v>
      </c>
      <c r="E75" s="89">
        <f>D75*0.16</f>
        <v>16</v>
      </c>
    </row>
    <row r="76" ht="13.5" thickTop="1"/>
  </sheetData>
  <sheetProtection/>
  <printOptions gridLines="1"/>
  <pageMargins left="0.71" right="0.2" top="0.91" bottom="0.5905511811023623" header="0.5118110236220472" footer="0.31496062992125984"/>
  <pageSetup horizontalDpi="600" verticalDpi="600" orientation="portrait" paperSize="9" r:id="rId1"/>
  <rowBreaks count="2" manualBreakCount="2">
    <brk id="31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 Wirtz</dc:creator>
  <cp:keywords/>
  <dc:description/>
  <cp:lastModifiedBy>Lothar Wirtz</cp:lastModifiedBy>
  <cp:lastPrinted>2020-02-07T11:15:50Z</cp:lastPrinted>
  <dcterms:created xsi:type="dcterms:W3CDTF">2008-02-09T16:00:54Z</dcterms:created>
  <dcterms:modified xsi:type="dcterms:W3CDTF">2020-02-07T11:25:14Z</dcterms:modified>
  <cp:category/>
  <cp:version/>
  <cp:contentType/>
  <cp:contentStatus/>
</cp:coreProperties>
</file>