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comments2.xml" ContentType="application/vnd.openxmlformats-officedocument.spreadsheetml.comments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jasul\Desktop\"/>
    </mc:Choice>
  </mc:AlternateContent>
  <xr:revisionPtr revIDLastSave="0" documentId="8_{C0E3E190-FFA9-4183-9810-C4BFCA84E406}" xr6:coauthVersionLast="47" xr6:coauthVersionMax="47" xr10:uidLastSave="{00000000-0000-0000-0000-000000000000}"/>
  <bookViews>
    <workbookView xWindow="-110" yWindow="-110" windowWidth="19420" windowHeight="10560" activeTab="5" xr2:uid="{00000000-000D-0000-FFFF-FFFF00000000}"/>
  </bookViews>
  <sheets>
    <sheet name="Infos" sheetId="10" r:id="rId1"/>
    <sheet name="Versionsinfo" sheetId="12" state="hidden" r:id="rId2"/>
    <sheet name="Auswertung_W" sheetId="1" r:id="rId3"/>
    <sheet name="Vorlage" sheetId="3" state="hidden" r:id="rId4"/>
    <sheet name="Listen" sheetId="4" state="hidden" r:id="rId5"/>
    <sheet name="Auswertung_M" sheetId="2" r:id="rId6"/>
    <sheet name="FeyhMiguel" sheetId="42" r:id="rId7"/>
    <sheet name="RöslerManuel" sheetId="41" r:id="rId8"/>
    <sheet name="BraunJanis" sheetId="39" r:id="rId9"/>
    <sheet name="GarmannLars" sheetId="37" r:id="rId10"/>
    <sheet name="LeitnerMichael" sheetId="34" r:id="rId11"/>
    <sheet name="LeitnerTobias" sheetId="33" r:id="rId12"/>
    <sheet name="StrieseHendrik" sheetId="21" r:id="rId13"/>
    <sheet name="BauerPhilipp" sheetId="36" r:id="rId14"/>
    <sheet name="Ronsiek-Niederbröcker, Hannah" sheetId="51" r:id="rId15"/>
    <sheet name="RamacheMarrit" sheetId="49" r:id="rId16"/>
    <sheet name="TotzkeViona" sheetId="50" r:id="rId17"/>
    <sheet name="FreyLuka" sheetId="48" r:id="rId18"/>
    <sheet name="SchuldtChristine" sheetId="31" r:id="rId19"/>
    <sheet name="MöllerMaya" sheetId="30" r:id="rId20"/>
    <sheet name="RadfelderHenningMirja" sheetId="29" r:id="rId21"/>
    <sheet name="StöhrGabriela" sheetId="28" r:id="rId22"/>
    <sheet name="BraafLuisa" sheetId="27" r:id="rId23"/>
    <sheet name="LangnerSabrina" sheetId="26" r:id="rId24"/>
    <sheet name="SchneiderFiona" sheetId="25" r:id="rId25"/>
    <sheet name="EislöffelAurelia" sheetId="24" r:id="rId26"/>
    <sheet name="HirschLiska" sheetId="22" r:id="rId27"/>
    <sheet name="HeringPauline" sheetId="19" r:id="rId28"/>
    <sheet name="VolskaNikola" sheetId="18" r:id="rId29"/>
    <sheet name="MelnichukAlexandra" sheetId="17" r:id="rId30"/>
    <sheet name="XingHohmannThea" sheetId="16" r:id="rId31"/>
    <sheet name="SteinbrennerGreta" sheetId="15" r:id="rId32"/>
    <sheet name="BachmannRieke" sheetId="14" r:id="rId33"/>
    <sheet name="Punktetabellen" sheetId="9" state="hidden" r:id="rId34"/>
    <sheet name="Standsprünge" sheetId="11" state="hidden" r:id="rId35"/>
  </sheets>
  <definedNames>
    <definedName name="_xlnm._FilterDatabase" localSheetId="5" hidden="1">Auswertung_M!$A$1:$AM$23</definedName>
    <definedName name="_xlnm._FilterDatabase" localSheetId="2" hidden="1">Auswertung_W!$A$1:$AI$38</definedName>
    <definedName name="_xlnm._FilterDatabase" localSheetId="1" hidden="1">Versionsinfo!$A$1:$C$1</definedName>
    <definedName name="_xlnm.Print_Area" localSheetId="32">BachmannRieke!$A$1:$H$51</definedName>
    <definedName name="_xlnm.Print_Area" localSheetId="13">BauerPhilipp!$A$1:$H$51</definedName>
    <definedName name="_xlnm.Print_Area" localSheetId="22">BraafLuisa!$A$1:$H$51</definedName>
    <definedName name="_xlnm.Print_Area" localSheetId="8">BraunJanis!$A$1:$H$51</definedName>
    <definedName name="_xlnm.Print_Area" localSheetId="25">EislöffelAurelia!$A$1:$H$51</definedName>
    <definedName name="_xlnm.Print_Area" localSheetId="6">FeyhMiguel!$A$1:$H$51</definedName>
    <definedName name="_xlnm.Print_Area" localSheetId="17">FreyLuka!$A$1:$H$51</definedName>
    <definedName name="_xlnm.Print_Area" localSheetId="9">GarmannLars!$A$1:$H$51</definedName>
    <definedName name="_xlnm.Print_Area" localSheetId="27">HeringPauline!$A$1:$H$51</definedName>
    <definedName name="_xlnm.Print_Area" localSheetId="26">HirschLiska!$A$1:$H$51</definedName>
    <definedName name="_xlnm.Print_Area" localSheetId="23">LangnerSabrina!$A$1:$H$51</definedName>
    <definedName name="_xlnm.Print_Area" localSheetId="10">LeitnerMichael!$A$1:$H$51</definedName>
    <definedName name="_xlnm.Print_Area" localSheetId="11">LeitnerTobias!$A$1:$H$51</definedName>
    <definedName name="_xlnm.Print_Area" localSheetId="29">MelnichukAlexandra!$A$1:$H$51</definedName>
    <definedName name="_xlnm.Print_Area" localSheetId="19">MöllerMaya!$A$1:$H$51</definedName>
    <definedName name="_xlnm.Print_Area" localSheetId="20">RadfelderHenningMirja!$A$1:$H$51</definedName>
    <definedName name="_xlnm.Print_Area" localSheetId="15">RamacheMarrit!$A$1:$H$51</definedName>
    <definedName name="_xlnm.Print_Area" localSheetId="14">'Ronsiek-Niederbröcker, Hannah'!$A$1:$H$51</definedName>
    <definedName name="_xlnm.Print_Area" localSheetId="7">RöslerManuel!$A$1:$H$51</definedName>
    <definedName name="_xlnm.Print_Area" localSheetId="24">SchneiderFiona!$A$1:$H$51</definedName>
    <definedName name="_xlnm.Print_Area" localSheetId="18">SchuldtChristine!$A$1:$H$51</definedName>
    <definedName name="_xlnm.Print_Area" localSheetId="31">SteinbrennerGreta!$A$1:$H$51</definedName>
    <definedName name="_xlnm.Print_Area" localSheetId="21">StöhrGabriela!$A$1:$H$51</definedName>
    <definedName name="_xlnm.Print_Area" localSheetId="12">StrieseHendrik!$A$1:$H$51</definedName>
    <definedName name="_xlnm.Print_Area" localSheetId="16">TotzkeViona!$A$1:$H$51</definedName>
    <definedName name="_xlnm.Print_Area" localSheetId="28">VolskaNikola!$A$1:$H$51</definedName>
    <definedName name="_xlnm.Print_Area" localSheetId="3">Vorlage!$A$1:$H$51</definedName>
    <definedName name="_xlnm.Print_Area" localSheetId="30">XingHohmannThea!$A$1:$H$51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41" l="1"/>
  <c r="S5" i="2"/>
  <c r="C20" i="21"/>
  <c r="H36" i="17"/>
  <c r="E23" i="17"/>
  <c r="C20" i="15"/>
  <c r="AM20" i="1" l="1"/>
  <c r="AL20" i="1"/>
  <c r="AK20" i="1"/>
  <c r="AJ20" i="1"/>
  <c r="AD11" i="1"/>
  <c r="AC11" i="1"/>
  <c r="AB11" i="1"/>
  <c r="W11" i="1"/>
  <c r="V11" i="1"/>
  <c r="U11" i="1"/>
  <c r="T11" i="1"/>
  <c r="O11" i="1"/>
  <c r="M11" i="1"/>
  <c r="L11" i="1"/>
  <c r="E11" i="1"/>
  <c r="D11" i="1"/>
  <c r="C11" i="1"/>
  <c r="H35" i="51"/>
  <c r="G35" i="51"/>
  <c r="A33" i="51"/>
  <c r="A29" i="51"/>
  <c r="H29" i="51" s="1"/>
  <c r="G28" i="51"/>
  <c r="H26" i="51"/>
  <c r="Z11" i="1" s="1"/>
  <c r="H25" i="51"/>
  <c r="Y11" i="1" s="1"/>
  <c r="H24" i="51"/>
  <c r="X11" i="1" s="1"/>
  <c r="E23" i="51"/>
  <c r="D23" i="51"/>
  <c r="A23" i="51"/>
  <c r="H23" i="51" s="1"/>
  <c r="E22" i="51"/>
  <c r="D22" i="51"/>
  <c r="E21" i="51"/>
  <c r="D21" i="51"/>
  <c r="H20" i="51"/>
  <c r="D20" i="51"/>
  <c r="H17" i="51"/>
  <c r="R11" i="1" s="1"/>
  <c r="H16" i="51"/>
  <c r="Q11" i="1" s="1"/>
  <c r="H15" i="51"/>
  <c r="P11" i="1" s="1"/>
  <c r="H14" i="51"/>
  <c r="H13" i="51"/>
  <c r="N11" i="1" s="1"/>
  <c r="H12" i="51"/>
  <c r="H11" i="51"/>
  <c r="H8" i="51"/>
  <c r="J11" i="1" s="1"/>
  <c r="H7" i="51"/>
  <c r="I11" i="1" s="1"/>
  <c r="H6" i="51"/>
  <c r="H11" i="1" s="1"/>
  <c r="H5" i="51"/>
  <c r="G11" i="1" s="1"/>
  <c r="H4" i="51"/>
  <c r="H2" i="51"/>
  <c r="C55" i="51" s="1"/>
  <c r="C63" i="51" s="1"/>
  <c r="H35" i="3"/>
  <c r="H36" i="3" s="1"/>
  <c r="AD8" i="1"/>
  <c r="AD6" i="1"/>
  <c r="T8" i="1"/>
  <c r="T6" i="1"/>
  <c r="AC8" i="1"/>
  <c r="AB8" i="1"/>
  <c r="AA8" i="1"/>
  <c r="W8" i="1"/>
  <c r="V8" i="1"/>
  <c r="U8" i="1"/>
  <c r="R8" i="1"/>
  <c r="Q8" i="1"/>
  <c r="L8" i="1"/>
  <c r="G8" i="1"/>
  <c r="E8" i="1"/>
  <c r="D8" i="1"/>
  <c r="C8" i="1"/>
  <c r="H35" i="50"/>
  <c r="H26" i="50"/>
  <c r="Z8" i="1" s="1"/>
  <c r="H25" i="50"/>
  <c r="Y8" i="1" s="1"/>
  <c r="H24" i="50"/>
  <c r="X8" i="1" s="1"/>
  <c r="E23" i="50"/>
  <c r="D23" i="50"/>
  <c r="E22" i="50"/>
  <c r="D22" i="50"/>
  <c r="E21" i="50"/>
  <c r="D21" i="50"/>
  <c r="H20" i="50"/>
  <c r="H17" i="50"/>
  <c r="H16" i="50"/>
  <c r="H15" i="50"/>
  <c r="P8" i="1" s="1"/>
  <c r="H14" i="50"/>
  <c r="O8" i="1" s="1"/>
  <c r="H13" i="50"/>
  <c r="N8" i="1" s="1"/>
  <c r="H12" i="50"/>
  <c r="M8" i="1" s="1"/>
  <c r="H11" i="50"/>
  <c r="H8" i="50"/>
  <c r="J8" i="1" s="1"/>
  <c r="H7" i="50"/>
  <c r="I8" i="1" s="1"/>
  <c r="H6" i="50"/>
  <c r="H8" i="1" s="1"/>
  <c r="H5" i="50"/>
  <c r="H4" i="50"/>
  <c r="F8" i="1" s="1"/>
  <c r="H2" i="50"/>
  <c r="C55" i="50" s="1"/>
  <c r="C63" i="50" s="1"/>
  <c r="AC6" i="1"/>
  <c r="AB6" i="1"/>
  <c r="AA6" i="1"/>
  <c r="W6" i="1"/>
  <c r="V6" i="1"/>
  <c r="U6" i="1"/>
  <c r="G6" i="1"/>
  <c r="E6" i="1"/>
  <c r="D6" i="1"/>
  <c r="C6" i="1"/>
  <c r="H35" i="49"/>
  <c r="H26" i="49"/>
  <c r="Z6" i="1" s="1"/>
  <c r="H25" i="49"/>
  <c r="Y6" i="1" s="1"/>
  <c r="H24" i="49"/>
  <c r="X6" i="1" s="1"/>
  <c r="E23" i="49"/>
  <c r="D23" i="49"/>
  <c r="E22" i="49"/>
  <c r="D22" i="49"/>
  <c r="E21" i="49"/>
  <c r="D21" i="49"/>
  <c r="H20" i="49"/>
  <c r="H17" i="49"/>
  <c r="R6" i="1" s="1"/>
  <c r="H16" i="49"/>
  <c r="Q6" i="1" s="1"/>
  <c r="H15" i="49"/>
  <c r="P6" i="1" s="1"/>
  <c r="H14" i="49"/>
  <c r="O6" i="1" s="1"/>
  <c r="H13" i="49"/>
  <c r="N6" i="1" s="1"/>
  <c r="H12" i="49"/>
  <c r="M6" i="1" s="1"/>
  <c r="H11" i="49"/>
  <c r="L6" i="1" s="1"/>
  <c r="H8" i="49"/>
  <c r="J6" i="1" s="1"/>
  <c r="H7" i="49"/>
  <c r="I6" i="1" s="1"/>
  <c r="H6" i="49"/>
  <c r="H6" i="1" s="1"/>
  <c r="H5" i="49"/>
  <c r="H4" i="49"/>
  <c r="F6" i="1" s="1"/>
  <c r="H2" i="49"/>
  <c r="C55" i="49" s="1"/>
  <c r="C63" i="49" s="1"/>
  <c r="C20" i="26"/>
  <c r="AD4" i="2"/>
  <c r="AD9" i="2"/>
  <c r="T8" i="2"/>
  <c r="T9" i="2"/>
  <c r="T19" i="1"/>
  <c r="AC19" i="1"/>
  <c r="AB19" i="1"/>
  <c r="W19" i="1"/>
  <c r="V19" i="1"/>
  <c r="U19" i="1"/>
  <c r="I19" i="1"/>
  <c r="E19" i="1"/>
  <c r="D19" i="1"/>
  <c r="C19" i="1"/>
  <c r="H35" i="48"/>
  <c r="AD19" i="1" s="1"/>
  <c r="H26" i="48"/>
  <c r="Z19" i="1" s="1"/>
  <c r="H25" i="48"/>
  <c r="Y19" i="1" s="1"/>
  <c r="H24" i="48"/>
  <c r="X19" i="1" s="1"/>
  <c r="E23" i="48"/>
  <c r="D23" i="48"/>
  <c r="E22" i="48"/>
  <c r="D22" i="48"/>
  <c r="E21" i="48"/>
  <c r="D21" i="48"/>
  <c r="H20" i="48"/>
  <c r="H17" i="48"/>
  <c r="R19" i="1" s="1"/>
  <c r="H16" i="48"/>
  <c r="Q19" i="1" s="1"/>
  <c r="H15" i="48"/>
  <c r="P19" i="1" s="1"/>
  <c r="H14" i="48"/>
  <c r="O19" i="1" s="1"/>
  <c r="H13" i="48"/>
  <c r="N19" i="1" s="1"/>
  <c r="H12" i="48"/>
  <c r="M19" i="1" s="1"/>
  <c r="H11" i="48"/>
  <c r="L19" i="1" s="1"/>
  <c r="H8" i="48"/>
  <c r="J19" i="1" s="1"/>
  <c r="H7" i="48"/>
  <c r="H6" i="48"/>
  <c r="H19" i="1" s="1"/>
  <c r="H5" i="48"/>
  <c r="H4" i="48"/>
  <c r="F19" i="1" s="1"/>
  <c r="H2" i="48"/>
  <c r="C55" i="48" s="1"/>
  <c r="C63" i="48" s="1"/>
  <c r="AM8" i="2"/>
  <c r="AL8" i="2"/>
  <c r="AK8" i="2"/>
  <c r="AJ8" i="2"/>
  <c r="W8" i="2"/>
  <c r="V8" i="2"/>
  <c r="U8" i="2"/>
  <c r="P8" i="2"/>
  <c r="O8" i="2"/>
  <c r="E8" i="2"/>
  <c r="D8" i="2"/>
  <c r="C8" i="2"/>
  <c r="H35" i="42"/>
  <c r="AD8" i="2" s="1"/>
  <c r="G35" i="42"/>
  <c r="A33" i="42"/>
  <c r="G28" i="42"/>
  <c r="H26" i="42"/>
  <c r="Z8" i="2" s="1"/>
  <c r="H25" i="42"/>
  <c r="Y8" i="2" s="1"/>
  <c r="H24" i="42"/>
  <c r="X8" i="2" s="1"/>
  <c r="E23" i="42"/>
  <c r="D23" i="42"/>
  <c r="A23" i="42"/>
  <c r="H23" i="42" s="1"/>
  <c r="E22" i="42"/>
  <c r="D22" i="42"/>
  <c r="E21" i="42"/>
  <c r="D21" i="42"/>
  <c r="H20" i="42"/>
  <c r="D20" i="42"/>
  <c r="H17" i="42"/>
  <c r="R8" i="2" s="1"/>
  <c r="H16" i="42"/>
  <c r="Q8" i="2" s="1"/>
  <c r="H15" i="42"/>
  <c r="H14" i="42"/>
  <c r="H13" i="42"/>
  <c r="N8" i="2" s="1"/>
  <c r="H12" i="42"/>
  <c r="M8" i="2" s="1"/>
  <c r="H11" i="42"/>
  <c r="L8" i="2" s="1"/>
  <c r="H8" i="42"/>
  <c r="J8" i="2" s="1"/>
  <c r="H7" i="42"/>
  <c r="I8" i="2" s="1"/>
  <c r="H6" i="42"/>
  <c r="H8" i="2" s="1"/>
  <c r="H5" i="42"/>
  <c r="G8" i="2" s="1"/>
  <c r="H4" i="42"/>
  <c r="H2" i="42"/>
  <c r="C67" i="42" s="1"/>
  <c r="AM7" i="2"/>
  <c r="AL7" i="2"/>
  <c r="AK7" i="2"/>
  <c r="AJ7" i="2"/>
  <c r="Z7" i="2"/>
  <c r="Y7" i="2"/>
  <c r="X7" i="2"/>
  <c r="H7" i="2"/>
  <c r="E7" i="2"/>
  <c r="C7" i="2"/>
  <c r="H35" i="41"/>
  <c r="AD7" i="2" s="1"/>
  <c r="H26" i="41"/>
  <c r="H25" i="41"/>
  <c r="H24" i="41"/>
  <c r="E23" i="41"/>
  <c r="D23" i="41"/>
  <c r="E22" i="41"/>
  <c r="D22" i="41"/>
  <c r="E21" i="41"/>
  <c r="D21" i="41"/>
  <c r="H17" i="41"/>
  <c r="R7" i="2" s="1"/>
  <c r="H16" i="41"/>
  <c r="Q7" i="2" s="1"/>
  <c r="H15" i="41"/>
  <c r="P7" i="2" s="1"/>
  <c r="H14" i="41"/>
  <c r="O7" i="2" s="1"/>
  <c r="H13" i="41"/>
  <c r="N7" i="2" s="1"/>
  <c r="H12" i="41"/>
  <c r="M7" i="2" s="1"/>
  <c r="H11" i="41"/>
  <c r="L7" i="2" s="1"/>
  <c r="H8" i="41"/>
  <c r="J7" i="2" s="1"/>
  <c r="H7" i="41"/>
  <c r="I7" i="2" s="1"/>
  <c r="H6" i="41"/>
  <c r="H5" i="41"/>
  <c r="G7" i="2" s="1"/>
  <c r="H4" i="41"/>
  <c r="F7" i="2" s="1"/>
  <c r="H2" i="41"/>
  <c r="C55" i="41" s="1"/>
  <c r="C63" i="41" s="1"/>
  <c r="AM2" i="2"/>
  <c r="AL2" i="2"/>
  <c r="AK2" i="2"/>
  <c r="AJ2" i="2"/>
  <c r="F2" i="2"/>
  <c r="E2" i="2"/>
  <c r="C2" i="2"/>
  <c r="H35" i="39"/>
  <c r="AD2" i="2" s="1"/>
  <c r="H26" i="39"/>
  <c r="Z2" i="2" s="1"/>
  <c r="H25" i="39"/>
  <c r="Y2" i="2" s="1"/>
  <c r="H24" i="39"/>
  <c r="X2" i="2" s="1"/>
  <c r="E23" i="39"/>
  <c r="D23" i="39"/>
  <c r="H20" i="39"/>
  <c r="T2" i="2" s="1"/>
  <c r="H17" i="39"/>
  <c r="R2" i="2" s="1"/>
  <c r="H16" i="39"/>
  <c r="Q2" i="2" s="1"/>
  <c r="H15" i="39"/>
  <c r="P2" i="2" s="1"/>
  <c r="H14" i="39"/>
  <c r="O2" i="2" s="1"/>
  <c r="H13" i="39"/>
  <c r="N2" i="2" s="1"/>
  <c r="H12" i="39"/>
  <c r="M2" i="2" s="1"/>
  <c r="H11" i="39"/>
  <c r="L2" i="2" s="1"/>
  <c r="H8" i="39"/>
  <c r="J2" i="2" s="1"/>
  <c r="H7" i="39"/>
  <c r="I2" i="2" s="1"/>
  <c r="H6" i="39"/>
  <c r="H2" i="2" s="1"/>
  <c r="H5" i="39"/>
  <c r="G2" i="2" s="1"/>
  <c r="H4" i="39"/>
  <c r="H2" i="39"/>
  <c r="C55" i="39" s="1"/>
  <c r="C63" i="39" s="1"/>
  <c r="AM4" i="2"/>
  <c r="AL4" i="2"/>
  <c r="AK4" i="2"/>
  <c r="AJ4" i="2"/>
  <c r="W4" i="2"/>
  <c r="V4" i="2"/>
  <c r="U4" i="2"/>
  <c r="L4" i="2"/>
  <c r="F4" i="2"/>
  <c r="E4" i="2"/>
  <c r="D4" i="2"/>
  <c r="C4" i="2"/>
  <c r="H35" i="37"/>
  <c r="H26" i="37"/>
  <c r="Z4" i="2" s="1"/>
  <c r="H25" i="37"/>
  <c r="Y4" i="2" s="1"/>
  <c r="H24" i="37"/>
  <c r="X4" i="2" s="1"/>
  <c r="E23" i="37"/>
  <c r="D23" i="37"/>
  <c r="E22" i="37"/>
  <c r="D22" i="37"/>
  <c r="E21" i="37"/>
  <c r="D21" i="37"/>
  <c r="H20" i="37"/>
  <c r="T4" i="2" s="1"/>
  <c r="H17" i="37"/>
  <c r="R4" i="2" s="1"/>
  <c r="H16" i="37"/>
  <c r="Q4" i="2" s="1"/>
  <c r="H15" i="37"/>
  <c r="P4" i="2" s="1"/>
  <c r="H14" i="37"/>
  <c r="O4" i="2" s="1"/>
  <c r="H13" i="37"/>
  <c r="N4" i="2" s="1"/>
  <c r="H12" i="37"/>
  <c r="M4" i="2" s="1"/>
  <c r="H11" i="37"/>
  <c r="H8" i="37"/>
  <c r="J4" i="2" s="1"/>
  <c r="H7" i="37"/>
  <c r="I4" i="2" s="1"/>
  <c r="H6" i="37"/>
  <c r="H4" i="2" s="1"/>
  <c r="H5" i="37"/>
  <c r="G4" i="2" s="1"/>
  <c r="H4" i="37"/>
  <c r="H2" i="37"/>
  <c r="C55" i="37" s="1"/>
  <c r="C63" i="37" s="1"/>
  <c r="AM3" i="2"/>
  <c r="AL3" i="2"/>
  <c r="AK3" i="2"/>
  <c r="AJ3" i="2"/>
  <c r="AC3" i="2"/>
  <c r="AB3" i="2"/>
  <c r="W3" i="2"/>
  <c r="P3" i="2"/>
  <c r="L3" i="2"/>
  <c r="E3" i="2"/>
  <c r="D3" i="2"/>
  <c r="C3" i="2"/>
  <c r="H35" i="36"/>
  <c r="AD3" i="2" s="1"/>
  <c r="H26" i="36"/>
  <c r="Z3" i="2" s="1"/>
  <c r="H25" i="36"/>
  <c r="Y3" i="2" s="1"/>
  <c r="H24" i="36"/>
  <c r="X3" i="2" s="1"/>
  <c r="E23" i="36"/>
  <c r="D23" i="36"/>
  <c r="H17" i="36"/>
  <c r="R3" i="2" s="1"/>
  <c r="H16" i="36"/>
  <c r="Q3" i="2" s="1"/>
  <c r="H15" i="36"/>
  <c r="H14" i="36"/>
  <c r="O3" i="2" s="1"/>
  <c r="H13" i="36"/>
  <c r="N3" i="2" s="1"/>
  <c r="H12" i="36"/>
  <c r="M3" i="2" s="1"/>
  <c r="H11" i="36"/>
  <c r="H8" i="36"/>
  <c r="J3" i="2" s="1"/>
  <c r="H7" i="36"/>
  <c r="I3" i="2" s="1"/>
  <c r="H6" i="36"/>
  <c r="H3" i="2" s="1"/>
  <c r="H5" i="36"/>
  <c r="G3" i="2" s="1"/>
  <c r="H4" i="36"/>
  <c r="H2" i="36"/>
  <c r="C55" i="36" s="1"/>
  <c r="C63" i="36" s="1"/>
  <c r="AM9" i="2"/>
  <c r="AL9" i="2"/>
  <c r="AK9" i="2"/>
  <c r="AJ9" i="2"/>
  <c r="AC9" i="2"/>
  <c r="AB9" i="2"/>
  <c r="W9" i="2"/>
  <c r="R9" i="2"/>
  <c r="P9" i="2"/>
  <c r="O9" i="2"/>
  <c r="M9" i="2"/>
  <c r="E9" i="2"/>
  <c r="D9" i="2"/>
  <c r="C9" i="2"/>
  <c r="H35" i="34"/>
  <c r="H26" i="34"/>
  <c r="Z9" i="2" s="1"/>
  <c r="H25" i="34"/>
  <c r="Y9" i="2" s="1"/>
  <c r="H24" i="34"/>
  <c r="X9" i="2" s="1"/>
  <c r="E23" i="34"/>
  <c r="D23" i="34"/>
  <c r="H20" i="34"/>
  <c r="H17" i="34"/>
  <c r="H16" i="34"/>
  <c r="Q9" i="2" s="1"/>
  <c r="H15" i="34"/>
  <c r="H14" i="34"/>
  <c r="H13" i="34"/>
  <c r="N9" i="2" s="1"/>
  <c r="H12" i="34"/>
  <c r="H11" i="34"/>
  <c r="L9" i="2" s="1"/>
  <c r="H8" i="34"/>
  <c r="J9" i="2" s="1"/>
  <c r="H7" i="34"/>
  <c r="I9" i="2" s="1"/>
  <c r="H6" i="34"/>
  <c r="H9" i="2" s="1"/>
  <c r="H5" i="34"/>
  <c r="G9" i="2" s="1"/>
  <c r="H4" i="34"/>
  <c r="H2" i="34"/>
  <c r="C55" i="34" s="1"/>
  <c r="C63" i="34" s="1"/>
  <c r="AM5" i="2"/>
  <c r="AL5" i="2"/>
  <c r="AK5" i="2"/>
  <c r="AJ5" i="2"/>
  <c r="AC5" i="2"/>
  <c r="AB5" i="2"/>
  <c r="W5" i="2"/>
  <c r="E5" i="2"/>
  <c r="D5" i="2"/>
  <c r="C5" i="2"/>
  <c r="H35" i="33"/>
  <c r="AD5" i="2" s="1"/>
  <c r="H26" i="33"/>
  <c r="Z5" i="2" s="1"/>
  <c r="H25" i="33"/>
  <c r="Y5" i="2" s="1"/>
  <c r="H24" i="33"/>
  <c r="X5" i="2" s="1"/>
  <c r="E23" i="33"/>
  <c r="D23" i="33"/>
  <c r="H20" i="33"/>
  <c r="T5" i="2" s="1"/>
  <c r="H17" i="33"/>
  <c r="R5" i="2" s="1"/>
  <c r="H16" i="33"/>
  <c r="Q5" i="2" s="1"/>
  <c r="H15" i="33"/>
  <c r="P5" i="2" s="1"/>
  <c r="H14" i="33"/>
  <c r="O5" i="2" s="1"/>
  <c r="H13" i="33"/>
  <c r="N5" i="2" s="1"/>
  <c r="H12" i="33"/>
  <c r="M5" i="2" s="1"/>
  <c r="H11" i="33"/>
  <c r="L5" i="2" s="1"/>
  <c r="H8" i="33"/>
  <c r="J5" i="2" s="1"/>
  <c r="H7" i="33"/>
  <c r="I5" i="2" s="1"/>
  <c r="H6" i="33"/>
  <c r="H5" i="2" s="1"/>
  <c r="H5" i="33"/>
  <c r="G5" i="2" s="1"/>
  <c r="H4" i="33"/>
  <c r="H2" i="33"/>
  <c r="C55" i="33" s="1"/>
  <c r="C63" i="33" s="1"/>
  <c r="C20" i="30"/>
  <c r="E23" i="24"/>
  <c r="AD6" i="2"/>
  <c r="AD20" i="1"/>
  <c r="AD16" i="1"/>
  <c r="AD15" i="1"/>
  <c r="AD14" i="1"/>
  <c r="AD17" i="1"/>
  <c r="AD13" i="1"/>
  <c r="AD12" i="1"/>
  <c r="AD10" i="1"/>
  <c r="AD3" i="1"/>
  <c r="AD2" i="1"/>
  <c r="AD7" i="1"/>
  <c r="AD5" i="1"/>
  <c r="AD4" i="1"/>
  <c r="AD9" i="1"/>
  <c r="T10" i="1"/>
  <c r="AH10" i="2"/>
  <c r="AH11" i="2"/>
  <c r="AH12" i="2"/>
  <c r="AH13" i="2"/>
  <c r="AH14" i="2"/>
  <c r="AH15" i="2"/>
  <c r="AH16" i="2"/>
  <c r="AH17" i="2"/>
  <c r="AH18" i="2"/>
  <c r="AH19" i="2"/>
  <c r="AH20" i="2"/>
  <c r="T20" i="1"/>
  <c r="T17" i="1"/>
  <c r="T13" i="1"/>
  <c r="T14" i="1"/>
  <c r="T15" i="1"/>
  <c r="T4" i="1"/>
  <c r="T12" i="1"/>
  <c r="T5" i="1"/>
  <c r="T7" i="1"/>
  <c r="T16" i="1"/>
  <c r="T3" i="1"/>
  <c r="D30" i="24"/>
  <c r="E30" i="24"/>
  <c r="D31" i="24"/>
  <c r="E31" i="24"/>
  <c r="D32" i="24"/>
  <c r="E32" i="24"/>
  <c r="D33" i="24"/>
  <c r="E33" i="24"/>
  <c r="D34" i="24"/>
  <c r="E34" i="24"/>
  <c r="D35" i="24"/>
  <c r="E35" i="24"/>
  <c r="C31" i="24"/>
  <c r="C32" i="24"/>
  <c r="C33" i="24"/>
  <c r="C34" i="24"/>
  <c r="C35" i="24"/>
  <c r="C30" i="24"/>
  <c r="AE20" i="1"/>
  <c r="AC20" i="1"/>
  <c r="AB20" i="1"/>
  <c r="AA20" i="1"/>
  <c r="Z20" i="1"/>
  <c r="Y20" i="1"/>
  <c r="X20" i="1"/>
  <c r="W20" i="1"/>
  <c r="V20" i="1"/>
  <c r="U20" i="1"/>
  <c r="R20" i="1"/>
  <c r="Q20" i="1"/>
  <c r="P20" i="1"/>
  <c r="O20" i="1"/>
  <c r="M20" i="1"/>
  <c r="L20" i="1"/>
  <c r="J20" i="1"/>
  <c r="I20" i="1"/>
  <c r="G20" i="1"/>
  <c r="D20" i="1"/>
  <c r="C20" i="1"/>
  <c r="H35" i="31"/>
  <c r="G30" i="31"/>
  <c r="H26" i="31"/>
  <c r="H25" i="31"/>
  <c r="H24" i="31"/>
  <c r="E23" i="31"/>
  <c r="D23" i="31"/>
  <c r="E22" i="31"/>
  <c r="D22" i="31"/>
  <c r="E21" i="31"/>
  <c r="D21" i="31"/>
  <c r="H20" i="31"/>
  <c r="C20" i="31"/>
  <c r="D20" i="31" s="1"/>
  <c r="H17" i="31"/>
  <c r="H16" i="31"/>
  <c r="H15" i="31"/>
  <c r="H14" i="31"/>
  <c r="H13" i="31"/>
  <c r="N20" i="1" s="1"/>
  <c r="H12" i="31"/>
  <c r="H11" i="31"/>
  <c r="H8" i="31"/>
  <c r="H7" i="31"/>
  <c r="H6" i="31"/>
  <c r="H20" i="1" s="1"/>
  <c r="H5" i="31"/>
  <c r="H4" i="31"/>
  <c r="H2" i="31"/>
  <c r="C55" i="31" s="1"/>
  <c r="C63" i="31" s="1"/>
  <c r="AC9" i="1"/>
  <c r="AB9" i="1"/>
  <c r="W9" i="1"/>
  <c r="Q9" i="1"/>
  <c r="M9" i="1"/>
  <c r="J9" i="1"/>
  <c r="E9" i="1"/>
  <c r="D9" i="1"/>
  <c r="C9" i="1"/>
  <c r="H35" i="30"/>
  <c r="H26" i="30"/>
  <c r="Z9" i="1" s="1"/>
  <c r="H25" i="30"/>
  <c r="Y9" i="1" s="1"/>
  <c r="H24" i="30"/>
  <c r="X9" i="1" s="1"/>
  <c r="E23" i="30"/>
  <c r="D23" i="30"/>
  <c r="H17" i="30"/>
  <c r="R9" i="1" s="1"/>
  <c r="H16" i="30"/>
  <c r="H15" i="30"/>
  <c r="P9" i="1" s="1"/>
  <c r="H14" i="30"/>
  <c r="O9" i="1" s="1"/>
  <c r="H13" i="30"/>
  <c r="N9" i="1" s="1"/>
  <c r="H12" i="30"/>
  <c r="H11" i="30"/>
  <c r="L9" i="1" s="1"/>
  <c r="H8" i="30"/>
  <c r="H7" i="30"/>
  <c r="I9" i="1" s="1"/>
  <c r="H6" i="30"/>
  <c r="H9" i="1" s="1"/>
  <c r="H5" i="30"/>
  <c r="G9" i="1" s="1"/>
  <c r="H4" i="30"/>
  <c r="H2" i="30"/>
  <c r="C55" i="30" s="1"/>
  <c r="C63" i="30" s="1"/>
  <c r="W17" i="1"/>
  <c r="V17" i="1"/>
  <c r="U17" i="1"/>
  <c r="E17" i="1"/>
  <c r="D17" i="1"/>
  <c r="C17" i="1"/>
  <c r="H35" i="29"/>
  <c r="A30" i="29"/>
  <c r="H26" i="29"/>
  <c r="Z17" i="1" s="1"/>
  <c r="H25" i="29"/>
  <c r="Y17" i="1" s="1"/>
  <c r="H24" i="29"/>
  <c r="X17" i="1" s="1"/>
  <c r="E23" i="29"/>
  <c r="D23" i="29"/>
  <c r="E22" i="29"/>
  <c r="D22" i="29"/>
  <c r="E21" i="29"/>
  <c r="D21" i="29"/>
  <c r="H20" i="29"/>
  <c r="C20" i="29"/>
  <c r="D20" i="29" s="1"/>
  <c r="H17" i="29"/>
  <c r="R17" i="1" s="1"/>
  <c r="H16" i="29"/>
  <c r="Q17" i="1" s="1"/>
  <c r="H15" i="29"/>
  <c r="P17" i="1" s="1"/>
  <c r="H14" i="29"/>
  <c r="O17" i="1" s="1"/>
  <c r="H13" i="29"/>
  <c r="N17" i="1" s="1"/>
  <c r="H12" i="29"/>
  <c r="M17" i="1" s="1"/>
  <c r="H11" i="29"/>
  <c r="L17" i="1" s="1"/>
  <c r="H8" i="29"/>
  <c r="J17" i="1" s="1"/>
  <c r="H7" i="29"/>
  <c r="I17" i="1" s="1"/>
  <c r="H6" i="29"/>
  <c r="H17" i="1" s="1"/>
  <c r="H5" i="29"/>
  <c r="G17" i="1" s="1"/>
  <c r="H4" i="29"/>
  <c r="H2" i="29"/>
  <c r="C55" i="29" s="1"/>
  <c r="C63" i="29" s="1"/>
  <c r="AC13" i="1"/>
  <c r="AB13" i="1"/>
  <c r="W13" i="1"/>
  <c r="V13" i="1"/>
  <c r="U13" i="1"/>
  <c r="O13" i="1"/>
  <c r="G13" i="1"/>
  <c r="E13" i="1"/>
  <c r="D13" i="1"/>
  <c r="C13" i="1"/>
  <c r="H35" i="28"/>
  <c r="G34" i="28"/>
  <c r="A30" i="28"/>
  <c r="G27" i="28"/>
  <c r="H26" i="28"/>
  <c r="Z13" i="1" s="1"/>
  <c r="H25" i="28"/>
  <c r="Y13" i="1" s="1"/>
  <c r="H24" i="28"/>
  <c r="X13" i="1" s="1"/>
  <c r="E23" i="28"/>
  <c r="D23" i="28"/>
  <c r="E22" i="28"/>
  <c r="D22" i="28"/>
  <c r="G21" i="28"/>
  <c r="E21" i="28"/>
  <c r="D21" i="28"/>
  <c r="H20" i="28"/>
  <c r="C20" i="28"/>
  <c r="D20" i="28" s="1"/>
  <c r="H17" i="28"/>
  <c r="R13" i="1" s="1"/>
  <c r="H16" i="28"/>
  <c r="Q13" i="1" s="1"/>
  <c r="H15" i="28"/>
  <c r="P13" i="1" s="1"/>
  <c r="H14" i="28"/>
  <c r="H13" i="28"/>
  <c r="N13" i="1" s="1"/>
  <c r="H12" i="28"/>
  <c r="M13" i="1" s="1"/>
  <c r="H11" i="28"/>
  <c r="L13" i="1" s="1"/>
  <c r="H8" i="28"/>
  <c r="J13" i="1" s="1"/>
  <c r="H7" i="28"/>
  <c r="I13" i="1" s="1"/>
  <c r="H6" i="28"/>
  <c r="H13" i="1" s="1"/>
  <c r="H5" i="28"/>
  <c r="H4" i="28"/>
  <c r="H2" i="28"/>
  <c r="C55" i="28" s="1"/>
  <c r="C63" i="28" s="1"/>
  <c r="W14" i="1"/>
  <c r="V14" i="1"/>
  <c r="U14" i="1"/>
  <c r="M14" i="1"/>
  <c r="G14" i="1"/>
  <c r="E14" i="1"/>
  <c r="D14" i="1"/>
  <c r="C14" i="1"/>
  <c r="H35" i="27"/>
  <c r="H26" i="27"/>
  <c r="Z14" i="1" s="1"/>
  <c r="H25" i="27"/>
  <c r="Y14" i="1" s="1"/>
  <c r="H24" i="27"/>
  <c r="X14" i="1" s="1"/>
  <c r="E23" i="27"/>
  <c r="D23" i="27"/>
  <c r="E22" i="27"/>
  <c r="D22" i="27"/>
  <c r="E21" i="27"/>
  <c r="D21" i="27"/>
  <c r="H20" i="27"/>
  <c r="C20" i="27"/>
  <c r="H17" i="27"/>
  <c r="R14" i="1" s="1"/>
  <c r="H16" i="27"/>
  <c r="Q14" i="1" s="1"/>
  <c r="H15" i="27"/>
  <c r="P14" i="1" s="1"/>
  <c r="H14" i="27"/>
  <c r="O14" i="1" s="1"/>
  <c r="H13" i="27"/>
  <c r="N14" i="1" s="1"/>
  <c r="H12" i="27"/>
  <c r="H11" i="27"/>
  <c r="L14" i="1" s="1"/>
  <c r="H8" i="27"/>
  <c r="J14" i="1" s="1"/>
  <c r="H7" i="27"/>
  <c r="I14" i="1" s="1"/>
  <c r="H6" i="27"/>
  <c r="H14" i="1" s="1"/>
  <c r="H5" i="27"/>
  <c r="H4" i="27"/>
  <c r="H2" i="27"/>
  <c r="C55" i="27" s="1"/>
  <c r="C63" i="27" s="1"/>
  <c r="AC18" i="1"/>
  <c r="AB18" i="1"/>
  <c r="AA18" i="1"/>
  <c r="Z18" i="1"/>
  <c r="W18" i="1"/>
  <c r="V18" i="1"/>
  <c r="U18" i="1"/>
  <c r="M18" i="1"/>
  <c r="E18" i="1"/>
  <c r="D18" i="1"/>
  <c r="C18" i="1"/>
  <c r="H35" i="26"/>
  <c r="AD18" i="1" s="1"/>
  <c r="H26" i="26"/>
  <c r="H25" i="26"/>
  <c r="Y18" i="1" s="1"/>
  <c r="H24" i="26"/>
  <c r="X18" i="1" s="1"/>
  <c r="E23" i="26"/>
  <c r="D23" i="26"/>
  <c r="E22" i="26"/>
  <c r="D22" i="26"/>
  <c r="E21" i="26"/>
  <c r="D21" i="26"/>
  <c r="H17" i="26"/>
  <c r="R18" i="1" s="1"/>
  <c r="H16" i="26"/>
  <c r="Q18" i="1" s="1"/>
  <c r="H15" i="26"/>
  <c r="P18" i="1" s="1"/>
  <c r="H14" i="26"/>
  <c r="O18" i="1" s="1"/>
  <c r="H13" i="26"/>
  <c r="N18" i="1" s="1"/>
  <c r="H12" i="26"/>
  <c r="H11" i="26"/>
  <c r="L18" i="1" s="1"/>
  <c r="H8" i="26"/>
  <c r="J18" i="1" s="1"/>
  <c r="H7" i="26"/>
  <c r="I18" i="1" s="1"/>
  <c r="H6" i="26"/>
  <c r="H18" i="1" s="1"/>
  <c r="H5" i="26"/>
  <c r="G18" i="1" s="1"/>
  <c r="H4" i="26"/>
  <c r="H2" i="26"/>
  <c r="C55" i="26" s="1"/>
  <c r="C63" i="26" s="1"/>
  <c r="AC15" i="1"/>
  <c r="AB15" i="1"/>
  <c r="W15" i="1"/>
  <c r="V15" i="1"/>
  <c r="U15" i="1"/>
  <c r="P15" i="1"/>
  <c r="L15" i="1"/>
  <c r="E15" i="1"/>
  <c r="D15" i="1"/>
  <c r="C15" i="1"/>
  <c r="H35" i="25"/>
  <c r="H26" i="25"/>
  <c r="Z15" i="1" s="1"/>
  <c r="H25" i="25"/>
  <c r="Y15" i="1" s="1"/>
  <c r="H24" i="25"/>
  <c r="X15" i="1" s="1"/>
  <c r="E23" i="25"/>
  <c r="D23" i="25"/>
  <c r="E22" i="25"/>
  <c r="D22" i="25"/>
  <c r="E21" i="25"/>
  <c r="D21" i="25"/>
  <c r="H20" i="25"/>
  <c r="C20" i="25"/>
  <c r="H17" i="25"/>
  <c r="R15" i="1" s="1"/>
  <c r="H16" i="25"/>
  <c r="Q15" i="1" s="1"/>
  <c r="H15" i="25"/>
  <c r="H14" i="25"/>
  <c r="O15" i="1" s="1"/>
  <c r="H13" i="25"/>
  <c r="N15" i="1" s="1"/>
  <c r="H12" i="25"/>
  <c r="M15" i="1" s="1"/>
  <c r="H11" i="25"/>
  <c r="H8" i="25"/>
  <c r="J15" i="1" s="1"/>
  <c r="H7" i="25"/>
  <c r="I15" i="1" s="1"/>
  <c r="H6" i="25"/>
  <c r="H15" i="1" s="1"/>
  <c r="H5" i="25"/>
  <c r="G15" i="1" s="1"/>
  <c r="H4" i="25"/>
  <c r="H2" i="25"/>
  <c r="C55" i="25" s="1"/>
  <c r="C63" i="25" s="1"/>
  <c r="E4" i="1"/>
  <c r="C4" i="1"/>
  <c r="H35" i="24"/>
  <c r="H26" i="24"/>
  <c r="Z4" i="1" s="1"/>
  <c r="H25" i="24"/>
  <c r="Y4" i="1" s="1"/>
  <c r="H24" i="24"/>
  <c r="X4" i="1" s="1"/>
  <c r="D23" i="24"/>
  <c r="E22" i="24"/>
  <c r="D22" i="24"/>
  <c r="E21" i="24"/>
  <c r="D21" i="24"/>
  <c r="C20" i="24"/>
  <c r="D20" i="24" s="1"/>
  <c r="H20" i="24" s="1"/>
  <c r="H17" i="24"/>
  <c r="R4" i="1" s="1"/>
  <c r="H16" i="24"/>
  <c r="Q4" i="1" s="1"/>
  <c r="H15" i="24"/>
  <c r="P4" i="1" s="1"/>
  <c r="H14" i="24"/>
  <c r="O4" i="1" s="1"/>
  <c r="H13" i="24"/>
  <c r="N4" i="1" s="1"/>
  <c r="H12" i="24"/>
  <c r="M4" i="1" s="1"/>
  <c r="H11" i="24"/>
  <c r="L4" i="1" s="1"/>
  <c r="H8" i="24"/>
  <c r="J4" i="1" s="1"/>
  <c r="H7" i="24"/>
  <c r="I4" i="1" s="1"/>
  <c r="H6" i="24"/>
  <c r="H4" i="1" s="1"/>
  <c r="H5" i="24"/>
  <c r="G4" i="1" s="1"/>
  <c r="H4" i="24"/>
  <c r="H2" i="24"/>
  <c r="C55" i="24" s="1"/>
  <c r="C63" i="24" s="1"/>
  <c r="AC12" i="1"/>
  <c r="AB12" i="1"/>
  <c r="W12" i="1"/>
  <c r="P12" i="1"/>
  <c r="E12" i="1"/>
  <c r="D12" i="1"/>
  <c r="C12" i="1"/>
  <c r="H35" i="22"/>
  <c r="H26" i="22"/>
  <c r="Z12" i="1" s="1"/>
  <c r="H25" i="22"/>
  <c r="Y12" i="1" s="1"/>
  <c r="H24" i="22"/>
  <c r="X12" i="1" s="1"/>
  <c r="E23" i="22"/>
  <c r="D23" i="22"/>
  <c r="H20" i="22"/>
  <c r="C20" i="22"/>
  <c r="H17" i="22"/>
  <c r="R12" i="1" s="1"/>
  <c r="H16" i="22"/>
  <c r="Q12" i="1" s="1"/>
  <c r="H15" i="22"/>
  <c r="H14" i="22"/>
  <c r="O12" i="1" s="1"/>
  <c r="H13" i="22"/>
  <c r="N12" i="1" s="1"/>
  <c r="H12" i="22"/>
  <c r="M12" i="1" s="1"/>
  <c r="H11" i="22"/>
  <c r="L12" i="1" s="1"/>
  <c r="H8" i="22"/>
  <c r="J12" i="1" s="1"/>
  <c r="H7" i="22"/>
  <c r="I12" i="1" s="1"/>
  <c r="H6" i="22"/>
  <c r="H12" i="1" s="1"/>
  <c r="H5" i="22"/>
  <c r="G12" i="1" s="1"/>
  <c r="H4" i="22"/>
  <c r="F12" i="1" s="1"/>
  <c r="H2" i="22"/>
  <c r="C55" i="22" s="1"/>
  <c r="C63" i="22" s="1"/>
  <c r="AC6" i="2"/>
  <c r="AB6" i="2"/>
  <c r="W6" i="2"/>
  <c r="R6" i="2"/>
  <c r="M6" i="2"/>
  <c r="J6" i="2"/>
  <c r="E6" i="2"/>
  <c r="D6" i="2"/>
  <c r="C6" i="2"/>
  <c r="H35" i="21"/>
  <c r="G34" i="21"/>
  <c r="A30" i="21"/>
  <c r="G27" i="21"/>
  <c r="H26" i="21"/>
  <c r="Z6" i="2" s="1"/>
  <c r="H25" i="21"/>
  <c r="Y6" i="2" s="1"/>
  <c r="H24" i="21"/>
  <c r="X6" i="2" s="1"/>
  <c r="E23" i="21"/>
  <c r="D23" i="21"/>
  <c r="G21" i="21"/>
  <c r="D20" i="21"/>
  <c r="H20" i="21" s="1"/>
  <c r="T6" i="2" s="1"/>
  <c r="H17" i="21"/>
  <c r="H16" i="21"/>
  <c r="Q6" i="2" s="1"/>
  <c r="H15" i="21"/>
  <c r="P6" i="2" s="1"/>
  <c r="H14" i="21"/>
  <c r="O6" i="2" s="1"/>
  <c r="H13" i="21"/>
  <c r="N6" i="2" s="1"/>
  <c r="H12" i="21"/>
  <c r="H11" i="21"/>
  <c r="L6" i="2" s="1"/>
  <c r="H8" i="21"/>
  <c r="H7" i="21"/>
  <c r="I6" i="2" s="1"/>
  <c r="H6" i="21"/>
  <c r="H6" i="2" s="1"/>
  <c r="H5" i="21"/>
  <c r="G6" i="2" s="1"/>
  <c r="H4" i="21"/>
  <c r="H2" i="21"/>
  <c r="C55" i="21" s="1"/>
  <c r="C63" i="21" s="1"/>
  <c r="AC5" i="1"/>
  <c r="AB5" i="1"/>
  <c r="AA5" i="1"/>
  <c r="Z5" i="1"/>
  <c r="Y5" i="1"/>
  <c r="X5" i="1"/>
  <c r="W5" i="1"/>
  <c r="R5" i="1"/>
  <c r="P5" i="1"/>
  <c r="L5" i="1"/>
  <c r="J5" i="1"/>
  <c r="E5" i="1"/>
  <c r="D5" i="1"/>
  <c r="C5" i="1"/>
  <c r="H35" i="19"/>
  <c r="H26" i="19"/>
  <c r="H25" i="19"/>
  <c r="H24" i="19"/>
  <c r="E23" i="19"/>
  <c r="D23" i="19"/>
  <c r="H20" i="19"/>
  <c r="C20" i="19"/>
  <c r="H17" i="19"/>
  <c r="H16" i="19"/>
  <c r="Q5" i="1" s="1"/>
  <c r="H15" i="19"/>
  <c r="H14" i="19"/>
  <c r="O5" i="1" s="1"/>
  <c r="H13" i="19"/>
  <c r="N5" i="1" s="1"/>
  <c r="H12" i="19"/>
  <c r="M5" i="1" s="1"/>
  <c r="H11" i="19"/>
  <c r="H8" i="19"/>
  <c r="H7" i="19"/>
  <c r="I5" i="1" s="1"/>
  <c r="H6" i="19"/>
  <c r="H5" i="1" s="1"/>
  <c r="H5" i="19"/>
  <c r="G5" i="1" s="1"/>
  <c r="H4" i="19"/>
  <c r="H2" i="19"/>
  <c r="C55" i="19" s="1"/>
  <c r="C63" i="19" s="1"/>
  <c r="AC7" i="1"/>
  <c r="AB7" i="1"/>
  <c r="Y7" i="1"/>
  <c r="W7" i="1"/>
  <c r="M7" i="1"/>
  <c r="E7" i="1"/>
  <c r="D7" i="1"/>
  <c r="C7" i="1"/>
  <c r="H35" i="18"/>
  <c r="H26" i="18"/>
  <c r="Z7" i="1" s="1"/>
  <c r="H25" i="18"/>
  <c r="H24" i="18"/>
  <c r="X7" i="1" s="1"/>
  <c r="E23" i="18"/>
  <c r="D23" i="18"/>
  <c r="H20" i="18"/>
  <c r="C20" i="18"/>
  <c r="H17" i="18"/>
  <c r="R7" i="1" s="1"/>
  <c r="H16" i="18"/>
  <c r="Q7" i="1" s="1"/>
  <c r="H15" i="18"/>
  <c r="P7" i="1" s="1"/>
  <c r="H14" i="18"/>
  <c r="O7" i="1" s="1"/>
  <c r="H13" i="18"/>
  <c r="N7" i="1" s="1"/>
  <c r="H12" i="18"/>
  <c r="H11" i="18"/>
  <c r="L7" i="1" s="1"/>
  <c r="H8" i="18"/>
  <c r="J7" i="1" s="1"/>
  <c r="H7" i="18"/>
  <c r="I7" i="1" s="1"/>
  <c r="H6" i="18"/>
  <c r="H7" i="1" s="1"/>
  <c r="H5" i="18"/>
  <c r="G7" i="1" s="1"/>
  <c r="H4" i="18"/>
  <c r="H2" i="18"/>
  <c r="C55" i="18" s="1"/>
  <c r="C63" i="18" s="1"/>
  <c r="AC16" i="1"/>
  <c r="AB16" i="1"/>
  <c r="W16" i="1"/>
  <c r="M16" i="1"/>
  <c r="E16" i="1"/>
  <c r="D16" i="1"/>
  <c r="C16" i="1"/>
  <c r="H35" i="17"/>
  <c r="H26" i="17"/>
  <c r="Z16" i="1" s="1"/>
  <c r="H25" i="17"/>
  <c r="Y16" i="1" s="1"/>
  <c r="H24" i="17"/>
  <c r="X16" i="1" s="1"/>
  <c r="D23" i="17"/>
  <c r="H20" i="17"/>
  <c r="C20" i="17"/>
  <c r="H17" i="17"/>
  <c r="R16" i="1" s="1"/>
  <c r="H16" i="17"/>
  <c r="Q16" i="1" s="1"/>
  <c r="H15" i="17"/>
  <c r="P16" i="1" s="1"/>
  <c r="H14" i="17"/>
  <c r="O16" i="1" s="1"/>
  <c r="H13" i="17"/>
  <c r="N16" i="1" s="1"/>
  <c r="H12" i="17"/>
  <c r="H11" i="17"/>
  <c r="L16" i="1" s="1"/>
  <c r="H8" i="17"/>
  <c r="J16" i="1" s="1"/>
  <c r="H7" i="17"/>
  <c r="I16" i="1" s="1"/>
  <c r="H6" i="17"/>
  <c r="H16" i="1" s="1"/>
  <c r="H5" i="17"/>
  <c r="G16" i="1" s="1"/>
  <c r="H4" i="17"/>
  <c r="H2" i="17"/>
  <c r="C55" i="17" s="1"/>
  <c r="C63" i="17" s="1"/>
  <c r="AC3" i="1"/>
  <c r="AB3" i="1"/>
  <c r="W3" i="1"/>
  <c r="O3" i="1"/>
  <c r="I3" i="1"/>
  <c r="G3" i="1"/>
  <c r="E3" i="1"/>
  <c r="D3" i="1"/>
  <c r="C3" i="1"/>
  <c r="H35" i="16"/>
  <c r="G30" i="16"/>
  <c r="H26" i="16"/>
  <c r="Z3" i="1" s="1"/>
  <c r="H25" i="16"/>
  <c r="Y3" i="1" s="1"/>
  <c r="H24" i="16"/>
  <c r="X3" i="1" s="1"/>
  <c r="E23" i="16"/>
  <c r="D23" i="16"/>
  <c r="H20" i="16"/>
  <c r="C20" i="16"/>
  <c r="D20" i="16" s="1"/>
  <c r="H17" i="16"/>
  <c r="R3" i="1" s="1"/>
  <c r="H16" i="16"/>
  <c r="Q3" i="1" s="1"/>
  <c r="H15" i="16"/>
  <c r="P3" i="1" s="1"/>
  <c r="H14" i="16"/>
  <c r="H13" i="16"/>
  <c r="H18" i="16" s="1"/>
  <c r="H12" i="16"/>
  <c r="M3" i="1" s="1"/>
  <c r="H11" i="16"/>
  <c r="L3" i="1" s="1"/>
  <c r="H8" i="16"/>
  <c r="J3" i="1" s="1"/>
  <c r="H7" i="16"/>
  <c r="H6" i="16"/>
  <c r="H3" i="1" s="1"/>
  <c r="H5" i="16"/>
  <c r="H4" i="16"/>
  <c r="H2" i="16"/>
  <c r="C55" i="16" s="1"/>
  <c r="C63" i="16" s="1"/>
  <c r="AC2" i="1"/>
  <c r="AB2" i="1"/>
  <c r="W2" i="1"/>
  <c r="M2" i="1"/>
  <c r="D2" i="1"/>
  <c r="C2" i="1"/>
  <c r="H35" i="15"/>
  <c r="G34" i="15"/>
  <c r="G31" i="15"/>
  <c r="A31" i="15"/>
  <c r="A30" i="15"/>
  <c r="G27" i="15"/>
  <c r="H26" i="15"/>
  <c r="Z2" i="1" s="1"/>
  <c r="H25" i="15"/>
  <c r="Y2" i="1" s="1"/>
  <c r="H24" i="15"/>
  <c r="X2" i="1" s="1"/>
  <c r="E23" i="15"/>
  <c r="D23" i="15"/>
  <c r="G22" i="15"/>
  <c r="A21" i="15"/>
  <c r="H17" i="15"/>
  <c r="R2" i="1" s="1"/>
  <c r="H16" i="15"/>
  <c r="Q2" i="1" s="1"/>
  <c r="H15" i="15"/>
  <c r="P2" i="1" s="1"/>
  <c r="H14" i="15"/>
  <c r="O2" i="1" s="1"/>
  <c r="H13" i="15"/>
  <c r="N2" i="1" s="1"/>
  <c r="H12" i="15"/>
  <c r="H11" i="15"/>
  <c r="L2" i="1" s="1"/>
  <c r="H8" i="15"/>
  <c r="J2" i="1" s="1"/>
  <c r="H7" i="15"/>
  <c r="I2" i="1" s="1"/>
  <c r="H6" i="15"/>
  <c r="H2" i="1" s="1"/>
  <c r="H5" i="15"/>
  <c r="G2" i="1" s="1"/>
  <c r="H4" i="15"/>
  <c r="H2" i="15"/>
  <c r="C55" i="15" s="1"/>
  <c r="C63" i="15" s="1"/>
  <c r="AC10" i="1"/>
  <c r="AB10" i="1"/>
  <c r="W10" i="1"/>
  <c r="O10" i="1"/>
  <c r="M10" i="1"/>
  <c r="F10" i="1"/>
  <c r="E10" i="1"/>
  <c r="D10" i="1"/>
  <c r="C10" i="1"/>
  <c r="H35" i="14"/>
  <c r="H26" i="14"/>
  <c r="Z10" i="1" s="1"/>
  <c r="H25" i="14"/>
  <c r="Y10" i="1" s="1"/>
  <c r="H24" i="14"/>
  <c r="X10" i="1" s="1"/>
  <c r="E23" i="14"/>
  <c r="D23" i="14"/>
  <c r="H20" i="14"/>
  <c r="C20" i="14"/>
  <c r="H17" i="14"/>
  <c r="R10" i="1" s="1"/>
  <c r="H16" i="14"/>
  <c r="Q10" i="1" s="1"/>
  <c r="H15" i="14"/>
  <c r="P10" i="1" s="1"/>
  <c r="H14" i="14"/>
  <c r="H13" i="14"/>
  <c r="N10" i="1" s="1"/>
  <c r="H12" i="14"/>
  <c r="H11" i="14"/>
  <c r="L10" i="1" s="1"/>
  <c r="H8" i="14"/>
  <c r="J10" i="1" s="1"/>
  <c r="H7" i="14"/>
  <c r="I10" i="1" s="1"/>
  <c r="H6" i="14"/>
  <c r="H10" i="1" s="1"/>
  <c r="H5" i="14"/>
  <c r="G10" i="1" s="1"/>
  <c r="H4" i="14"/>
  <c r="H2" i="14"/>
  <c r="C55" i="14" s="1"/>
  <c r="C63" i="14" s="1"/>
  <c r="H2" i="3"/>
  <c r="E22" i="19"/>
  <c r="E21" i="19"/>
  <c r="D21" i="36"/>
  <c r="E21" i="18"/>
  <c r="D21" i="21"/>
  <c r="D22" i="30"/>
  <c r="E21" i="30"/>
  <c r="D22" i="39"/>
  <c r="E21" i="21"/>
  <c r="E21" i="39"/>
  <c r="D21" i="39"/>
  <c r="D21" i="18"/>
  <c r="E21" i="22"/>
  <c r="D22" i="19"/>
  <c r="E22" i="30"/>
  <c r="E22" i="22"/>
  <c r="E21" i="36"/>
  <c r="E22" i="39"/>
  <c r="H18" i="30" l="1"/>
  <c r="S9" i="1" s="1"/>
  <c r="H18" i="21"/>
  <c r="H18" i="31"/>
  <c r="S20" i="1" s="1"/>
  <c r="H18" i="28"/>
  <c r="S13" i="1" s="1"/>
  <c r="H18" i="19"/>
  <c r="S5" i="1" s="1"/>
  <c r="H18" i="15"/>
  <c r="S2" i="1" s="1"/>
  <c r="H18" i="26"/>
  <c r="S18" i="1" s="1"/>
  <c r="H18" i="18"/>
  <c r="S7" i="1" s="1"/>
  <c r="N3" i="1"/>
  <c r="H18" i="24"/>
  <c r="H18" i="25"/>
  <c r="S15" i="1" s="1"/>
  <c r="D20" i="15"/>
  <c r="H20" i="15" s="1"/>
  <c r="T2" i="1" s="1"/>
  <c r="H9" i="51"/>
  <c r="K11" i="1" s="1"/>
  <c r="F11" i="1"/>
  <c r="A21" i="51"/>
  <c r="H21" i="51" s="1"/>
  <c r="A27" i="51"/>
  <c r="H27" i="51" s="1"/>
  <c r="AA11" i="1" s="1"/>
  <c r="A31" i="51"/>
  <c r="G33" i="51"/>
  <c r="G22" i="51"/>
  <c r="G31" i="51"/>
  <c r="A35" i="51"/>
  <c r="H18" i="51"/>
  <c r="S11" i="1" s="1"/>
  <c r="G21" i="51"/>
  <c r="G27" i="51"/>
  <c r="A30" i="51"/>
  <c r="G30" i="51"/>
  <c r="A34" i="51"/>
  <c r="G34" i="51"/>
  <c r="C65" i="51"/>
  <c r="A22" i="51"/>
  <c r="H22" i="51" s="1"/>
  <c r="G23" i="51"/>
  <c r="A28" i="51"/>
  <c r="H28" i="51" s="1"/>
  <c r="G29" i="51"/>
  <c r="A32" i="51"/>
  <c r="G32" i="51"/>
  <c r="G46" i="51"/>
  <c r="G47" i="51"/>
  <c r="G48" i="51"/>
  <c r="G49" i="51"/>
  <c r="C54" i="51"/>
  <c r="C67" i="51"/>
  <c r="C68" i="51" s="1"/>
  <c r="H18" i="49"/>
  <c r="S6" i="1" s="1"/>
  <c r="H9" i="48"/>
  <c r="K19" i="1" s="1"/>
  <c r="G19" i="1"/>
  <c r="H18" i="34"/>
  <c r="S9" i="2" s="1"/>
  <c r="H9" i="42"/>
  <c r="K8" i="2" s="1"/>
  <c r="D7" i="2"/>
  <c r="H9" i="49"/>
  <c r="K6" i="1" s="1"/>
  <c r="H9" i="50"/>
  <c r="K8" i="1" s="1"/>
  <c r="H18" i="50"/>
  <c r="S8" i="1" s="1"/>
  <c r="G21" i="50"/>
  <c r="G27" i="50"/>
  <c r="A30" i="50"/>
  <c r="G30" i="50"/>
  <c r="G34" i="50"/>
  <c r="A21" i="50"/>
  <c r="H21" i="50" s="1"/>
  <c r="G22" i="50"/>
  <c r="A29" i="50"/>
  <c r="H29" i="50" s="1"/>
  <c r="A31" i="50"/>
  <c r="G31" i="50"/>
  <c r="A35" i="50"/>
  <c r="G35" i="50"/>
  <c r="C65" i="50"/>
  <c r="A22" i="50"/>
  <c r="H22" i="50" s="1"/>
  <c r="G23" i="50"/>
  <c r="A28" i="50"/>
  <c r="H28" i="50" s="1"/>
  <c r="G29" i="50"/>
  <c r="A32" i="50"/>
  <c r="G32" i="50"/>
  <c r="G46" i="50"/>
  <c r="G47" i="50"/>
  <c r="G48" i="50"/>
  <c r="G49" i="50"/>
  <c r="C54" i="50"/>
  <c r="C67" i="50"/>
  <c r="C68" i="50" s="1"/>
  <c r="A34" i="50"/>
  <c r="D20" i="50"/>
  <c r="A23" i="50"/>
  <c r="H23" i="50" s="1"/>
  <c r="A27" i="50"/>
  <c r="H27" i="50" s="1"/>
  <c r="G28" i="50"/>
  <c r="A33" i="50"/>
  <c r="G33" i="50"/>
  <c r="G21" i="49"/>
  <c r="A34" i="49"/>
  <c r="A21" i="49"/>
  <c r="H21" i="49" s="1"/>
  <c r="G22" i="49"/>
  <c r="A29" i="49"/>
  <c r="H29" i="49" s="1"/>
  <c r="A31" i="49"/>
  <c r="G31" i="49"/>
  <c r="A35" i="49"/>
  <c r="G35" i="49"/>
  <c r="C65" i="49"/>
  <c r="A30" i="49"/>
  <c r="A22" i="49"/>
  <c r="H22" i="49" s="1"/>
  <c r="G23" i="49"/>
  <c r="A28" i="49"/>
  <c r="H28" i="49" s="1"/>
  <c r="G29" i="49"/>
  <c r="A32" i="49"/>
  <c r="G32" i="49"/>
  <c r="G46" i="49"/>
  <c r="G47" i="49"/>
  <c r="G48" i="49"/>
  <c r="G49" i="49"/>
  <c r="C54" i="49"/>
  <c r="C67" i="49"/>
  <c r="C68" i="49" s="1"/>
  <c r="G27" i="49"/>
  <c r="G30" i="49"/>
  <c r="G34" i="49"/>
  <c r="D20" i="49"/>
  <c r="A23" i="49"/>
  <c r="H23" i="49" s="1"/>
  <c r="A27" i="49"/>
  <c r="H27" i="49" s="1"/>
  <c r="G28" i="49"/>
  <c r="A33" i="49"/>
  <c r="G33" i="49"/>
  <c r="D2" i="2"/>
  <c r="H18" i="39"/>
  <c r="S2" i="2" s="1"/>
  <c r="H18" i="48"/>
  <c r="S19" i="1" s="1"/>
  <c r="G21" i="48"/>
  <c r="G27" i="48"/>
  <c r="A30" i="48"/>
  <c r="G34" i="48"/>
  <c r="A21" i="48"/>
  <c r="H21" i="48" s="1"/>
  <c r="G22" i="48"/>
  <c r="A29" i="48"/>
  <c r="H29" i="48" s="1"/>
  <c r="A31" i="48"/>
  <c r="G31" i="48"/>
  <c r="A35" i="48"/>
  <c r="G35" i="48"/>
  <c r="C65" i="48"/>
  <c r="G30" i="48"/>
  <c r="A22" i="48"/>
  <c r="H22" i="48" s="1"/>
  <c r="G23" i="48"/>
  <c r="A28" i="48"/>
  <c r="H28" i="48" s="1"/>
  <c r="G29" i="48"/>
  <c r="A32" i="48"/>
  <c r="G32" i="48"/>
  <c r="G46" i="48"/>
  <c r="G47" i="48"/>
  <c r="G48" i="48"/>
  <c r="G49" i="48"/>
  <c r="C54" i="48"/>
  <c r="C67" i="48"/>
  <c r="C68" i="48" s="1"/>
  <c r="A34" i="48"/>
  <c r="D20" i="48"/>
  <c r="A23" i="48"/>
  <c r="H23" i="48" s="1"/>
  <c r="A27" i="48"/>
  <c r="H27" i="48" s="1"/>
  <c r="AA19" i="1" s="1"/>
  <c r="G28" i="48"/>
  <c r="A33" i="48"/>
  <c r="G33" i="48"/>
  <c r="F8" i="2"/>
  <c r="H9" i="41"/>
  <c r="K7" i="2" s="1"/>
  <c r="H9" i="37"/>
  <c r="K4" i="2" s="1"/>
  <c r="H9" i="39"/>
  <c r="K2" i="2" s="1"/>
  <c r="H9" i="33"/>
  <c r="K5" i="2" s="1"/>
  <c r="F5" i="2"/>
  <c r="H9" i="34"/>
  <c r="K9" i="2" s="1"/>
  <c r="F9" i="2"/>
  <c r="H9" i="36"/>
  <c r="K3" i="2" s="1"/>
  <c r="F3" i="2"/>
  <c r="H18" i="42"/>
  <c r="S8" i="2" s="1"/>
  <c r="A29" i="42"/>
  <c r="H29" i="42" s="1"/>
  <c r="AC8" i="2" s="1"/>
  <c r="A21" i="42"/>
  <c r="H21" i="42" s="1"/>
  <c r="A27" i="42"/>
  <c r="H27" i="42" s="1"/>
  <c r="AA8" i="2" s="1"/>
  <c r="A31" i="42"/>
  <c r="G33" i="42"/>
  <c r="C55" i="42"/>
  <c r="C63" i="42" s="1"/>
  <c r="C68" i="42"/>
  <c r="G22" i="42"/>
  <c r="G31" i="42"/>
  <c r="A35" i="42"/>
  <c r="C65" i="42"/>
  <c r="G21" i="42"/>
  <c r="G27" i="42"/>
  <c r="A30" i="42"/>
  <c r="G30" i="42"/>
  <c r="A34" i="42"/>
  <c r="G34" i="42"/>
  <c r="A22" i="42"/>
  <c r="H22" i="42" s="1"/>
  <c r="H36" i="42" s="1"/>
  <c r="AE8" i="2" s="1"/>
  <c r="G23" i="42"/>
  <c r="A28" i="42"/>
  <c r="H28" i="42" s="1"/>
  <c r="AB8" i="2" s="1"/>
  <c r="G29" i="42"/>
  <c r="A32" i="42"/>
  <c r="G32" i="42"/>
  <c r="G46" i="42"/>
  <c r="G47" i="42"/>
  <c r="G48" i="42"/>
  <c r="G49" i="42"/>
  <c r="C54" i="42"/>
  <c r="S7" i="2"/>
  <c r="G21" i="41"/>
  <c r="G27" i="41"/>
  <c r="A30" i="41"/>
  <c r="G30" i="41"/>
  <c r="A34" i="41"/>
  <c r="G34" i="41"/>
  <c r="A21" i="41"/>
  <c r="H21" i="41" s="1"/>
  <c r="U7" i="2" s="1"/>
  <c r="G22" i="41"/>
  <c r="A29" i="41"/>
  <c r="H29" i="41" s="1"/>
  <c r="AC7" i="2" s="1"/>
  <c r="A31" i="41"/>
  <c r="G31" i="41"/>
  <c r="A35" i="41"/>
  <c r="G35" i="41"/>
  <c r="C65" i="41"/>
  <c r="A22" i="41"/>
  <c r="H22" i="41" s="1"/>
  <c r="V7" i="2" s="1"/>
  <c r="G23" i="41"/>
  <c r="A28" i="41"/>
  <c r="H28" i="41" s="1"/>
  <c r="AB7" i="2" s="1"/>
  <c r="G29" i="41"/>
  <c r="A32" i="41"/>
  <c r="G32" i="41"/>
  <c r="G46" i="41"/>
  <c r="G47" i="41"/>
  <c r="G48" i="41"/>
  <c r="G49" i="41"/>
  <c r="C54" i="41"/>
  <c r="C67" i="41"/>
  <c r="C68" i="41" s="1"/>
  <c r="D20" i="41"/>
  <c r="H20" i="41" s="1"/>
  <c r="T7" i="2" s="1"/>
  <c r="A23" i="41"/>
  <c r="H23" i="41" s="1"/>
  <c r="W7" i="2" s="1"/>
  <c r="A27" i="41"/>
  <c r="H27" i="41" s="1"/>
  <c r="AA7" i="2" s="1"/>
  <c r="G28" i="41"/>
  <c r="A33" i="41"/>
  <c r="G33" i="41"/>
  <c r="G21" i="39"/>
  <c r="G27" i="39"/>
  <c r="A30" i="39"/>
  <c r="G30" i="39"/>
  <c r="A34" i="39"/>
  <c r="G34" i="39"/>
  <c r="A21" i="39"/>
  <c r="H21" i="39" s="1"/>
  <c r="U2" i="2" s="1"/>
  <c r="G22" i="39"/>
  <c r="A29" i="39"/>
  <c r="H29" i="39" s="1"/>
  <c r="AC2" i="2" s="1"/>
  <c r="A31" i="39"/>
  <c r="G31" i="39"/>
  <c r="A35" i="39"/>
  <c r="G35" i="39"/>
  <c r="C65" i="39"/>
  <c r="A22" i="39"/>
  <c r="H22" i="39" s="1"/>
  <c r="V2" i="2" s="1"/>
  <c r="G23" i="39"/>
  <c r="A28" i="39"/>
  <c r="H28" i="39" s="1"/>
  <c r="AB2" i="2" s="1"/>
  <c r="G29" i="39"/>
  <c r="A32" i="39"/>
  <c r="G32" i="39"/>
  <c r="G46" i="39"/>
  <c r="G47" i="39"/>
  <c r="G48" i="39"/>
  <c r="G49" i="39"/>
  <c r="C54" i="39"/>
  <c r="C67" i="39"/>
  <c r="C68" i="39" s="1"/>
  <c r="D20" i="39"/>
  <c r="A23" i="39"/>
  <c r="H23" i="39" s="1"/>
  <c r="W2" i="2" s="1"/>
  <c r="A27" i="39"/>
  <c r="H27" i="39" s="1"/>
  <c r="AA2" i="2" s="1"/>
  <c r="G28" i="39"/>
  <c r="A33" i="39"/>
  <c r="G33" i="39"/>
  <c r="H18" i="37"/>
  <c r="S4" i="2" s="1"/>
  <c r="G21" i="37"/>
  <c r="G27" i="37"/>
  <c r="A30" i="37"/>
  <c r="G30" i="37"/>
  <c r="A34" i="37"/>
  <c r="G34" i="37"/>
  <c r="A21" i="37"/>
  <c r="H21" i="37" s="1"/>
  <c r="H36" i="37" s="1"/>
  <c r="AE4" i="2" s="1"/>
  <c r="G22" i="37"/>
  <c r="A29" i="37"/>
  <c r="H29" i="37" s="1"/>
  <c r="AC4" i="2" s="1"/>
  <c r="A31" i="37"/>
  <c r="G31" i="37"/>
  <c r="A35" i="37"/>
  <c r="G35" i="37"/>
  <c r="C65" i="37"/>
  <c r="A22" i="37"/>
  <c r="H22" i="37" s="1"/>
  <c r="G23" i="37"/>
  <c r="A28" i="37"/>
  <c r="H28" i="37" s="1"/>
  <c r="AB4" i="2" s="1"/>
  <c r="G29" i="37"/>
  <c r="A32" i="37"/>
  <c r="G32" i="37"/>
  <c r="G46" i="37"/>
  <c r="G47" i="37"/>
  <c r="G48" i="37"/>
  <c r="G49" i="37"/>
  <c r="C54" i="37"/>
  <c r="C67" i="37"/>
  <c r="C68" i="37" s="1"/>
  <c r="D20" i="37"/>
  <c r="A23" i="37"/>
  <c r="H23" i="37" s="1"/>
  <c r="A27" i="37"/>
  <c r="H27" i="37" s="1"/>
  <c r="AA4" i="2" s="1"/>
  <c r="G28" i="37"/>
  <c r="A33" i="37"/>
  <c r="G33" i="37"/>
  <c r="H18" i="36"/>
  <c r="S3" i="2" s="1"/>
  <c r="G21" i="36"/>
  <c r="G27" i="36"/>
  <c r="A30" i="36"/>
  <c r="G30" i="36"/>
  <c r="A34" i="36"/>
  <c r="G34" i="36"/>
  <c r="A21" i="36"/>
  <c r="H21" i="36" s="1"/>
  <c r="U3" i="2" s="1"/>
  <c r="G22" i="36"/>
  <c r="A29" i="36"/>
  <c r="H29" i="36" s="1"/>
  <c r="A31" i="36"/>
  <c r="G31" i="36"/>
  <c r="A35" i="36"/>
  <c r="G35" i="36"/>
  <c r="C65" i="36"/>
  <c r="A22" i="36"/>
  <c r="H22" i="36" s="1"/>
  <c r="V3" i="2" s="1"/>
  <c r="G23" i="36"/>
  <c r="A28" i="36"/>
  <c r="H28" i="36" s="1"/>
  <c r="G29" i="36"/>
  <c r="A32" i="36"/>
  <c r="G32" i="36"/>
  <c r="G46" i="36"/>
  <c r="G47" i="36"/>
  <c r="G48" i="36"/>
  <c r="G49" i="36"/>
  <c r="C54" i="36"/>
  <c r="C67" i="36"/>
  <c r="C68" i="36" s="1"/>
  <c r="D20" i="36"/>
  <c r="H20" i="36" s="1"/>
  <c r="T3" i="2" s="1"/>
  <c r="A23" i="36"/>
  <c r="H23" i="36" s="1"/>
  <c r="A27" i="36"/>
  <c r="H27" i="36" s="1"/>
  <c r="AA3" i="2" s="1"/>
  <c r="G28" i="36"/>
  <c r="A33" i="36"/>
  <c r="G33" i="36"/>
  <c r="G21" i="34"/>
  <c r="G27" i="34"/>
  <c r="A30" i="34"/>
  <c r="G30" i="34"/>
  <c r="A34" i="34"/>
  <c r="G34" i="34"/>
  <c r="A21" i="34"/>
  <c r="H21" i="34" s="1"/>
  <c r="U9" i="2" s="1"/>
  <c r="G22" i="34"/>
  <c r="A29" i="34"/>
  <c r="H29" i="34" s="1"/>
  <c r="A31" i="34"/>
  <c r="G31" i="34"/>
  <c r="A35" i="34"/>
  <c r="G35" i="34"/>
  <c r="C65" i="34"/>
  <c r="A22" i="34"/>
  <c r="H22" i="34" s="1"/>
  <c r="V9" i="2" s="1"/>
  <c r="G23" i="34"/>
  <c r="A28" i="34"/>
  <c r="H28" i="34" s="1"/>
  <c r="G29" i="34"/>
  <c r="A32" i="34"/>
  <c r="G32" i="34"/>
  <c r="G46" i="34"/>
  <c r="G47" i="34"/>
  <c r="G48" i="34"/>
  <c r="G49" i="34"/>
  <c r="C54" i="34"/>
  <c r="C67" i="34"/>
  <c r="C68" i="34" s="1"/>
  <c r="D20" i="34"/>
  <c r="A23" i="34"/>
  <c r="H23" i="34" s="1"/>
  <c r="A27" i="34"/>
  <c r="H27" i="34" s="1"/>
  <c r="AA9" i="2" s="1"/>
  <c r="G28" i="34"/>
  <c r="A33" i="34"/>
  <c r="G33" i="34"/>
  <c r="H18" i="33"/>
  <c r="G21" i="33"/>
  <c r="G27" i="33"/>
  <c r="A30" i="33"/>
  <c r="G30" i="33"/>
  <c r="A34" i="33"/>
  <c r="G34" i="33"/>
  <c r="A21" i="33"/>
  <c r="H21" i="33" s="1"/>
  <c r="U5" i="2" s="1"/>
  <c r="G22" i="33"/>
  <c r="A29" i="33"/>
  <c r="H29" i="33" s="1"/>
  <c r="A31" i="33"/>
  <c r="G31" i="33"/>
  <c r="A35" i="33"/>
  <c r="G35" i="33"/>
  <c r="C65" i="33"/>
  <c r="A22" i="33"/>
  <c r="H22" i="33" s="1"/>
  <c r="V5" i="2" s="1"/>
  <c r="G23" i="33"/>
  <c r="A28" i="33"/>
  <c r="H28" i="33" s="1"/>
  <c r="G29" i="33"/>
  <c r="A32" i="33"/>
  <c r="G32" i="33"/>
  <c r="G46" i="33"/>
  <c r="G47" i="33"/>
  <c r="G48" i="33"/>
  <c r="G49" i="33"/>
  <c r="C54" i="33"/>
  <c r="C67" i="33"/>
  <c r="C68" i="33" s="1"/>
  <c r="D20" i="33"/>
  <c r="A23" i="33"/>
  <c r="H23" i="33" s="1"/>
  <c r="A27" i="33"/>
  <c r="H27" i="33" s="1"/>
  <c r="AA5" i="2" s="1"/>
  <c r="G28" i="33"/>
  <c r="A33" i="33"/>
  <c r="G33" i="33"/>
  <c r="H18" i="27"/>
  <c r="S14" i="1" s="1"/>
  <c r="H18" i="17"/>
  <c r="S16" i="1" s="1"/>
  <c r="H18" i="22"/>
  <c r="S12" i="1" s="1"/>
  <c r="H9" i="17"/>
  <c r="K16" i="1" s="1"/>
  <c r="H9" i="19"/>
  <c r="K5" i="1" s="1"/>
  <c r="G21" i="24"/>
  <c r="D4" i="1"/>
  <c r="H21" i="15"/>
  <c r="U2" i="1" s="1"/>
  <c r="H9" i="14"/>
  <c r="K10" i="1" s="1"/>
  <c r="H9" i="15"/>
  <c r="K2" i="1" s="1"/>
  <c r="F2" i="1"/>
  <c r="H9" i="16"/>
  <c r="K3" i="1" s="1"/>
  <c r="F3" i="1"/>
  <c r="F16" i="1"/>
  <c r="H9" i="18"/>
  <c r="K7" i="1" s="1"/>
  <c r="F7" i="1"/>
  <c r="F5" i="1"/>
  <c r="H9" i="21"/>
  <c r="K6" i="2" s="1"/>
  <c r="F6" i="2"/>
  <c r="H9" i="22"/>
  <c r="K12" i="1" s="1"/>
  <c r="H9" i="24"/>
  <c r="K4" i="1" s="1"/>
  <c r="F4" i="1"/>
  <c r="H9" i="25"/>
  <c r="K15" i="1" s="1"/>
  <c r="F15" i="1"/>
  <c r="H9" i="26"/>
  <c r="K18" i="1" s="1"/>
  <c r="F18" i="1"/>
  <c r="H9" i="27"/>
  <c r="K14" i="1" s="1"/>
  <c r="F14" i="1"/>
  <c r="H9" i="31"/>
  <c r="K20" i="1" s="1"/>
  <c r="F20" i="1"/>
  <c r="A34" i="31"/>
  <c r="G21" i="31"/>
  <c r="G27" i="31"/>
  <c r="G34" i="31"/>
  <c r="A30" i="31"/>
  <c r="A21" i="31"/>
  <c r="H21" i="31" s="1"/>
  <c r="G22" i="31"/>
  <c r="A29" i="31"/>
  <c r="H29" i="31" s="1"/>
  <c r="A31" i="31"/>
  <c r="G31" i="31"/>
  <c r="A35" i="31"/>
  <c r="G35" i="31"/>
  <c r="C65" i="31"/>
  <c r="A22" i="31"/>
  <c r="H22" i="31" s="1"/>
  <c r="H36" i="31" s="1"/>
  <c r="G23" i="31"/>
  <c r="A28" i="31"/>
  <c r="H28" i="31" s="1"/>
  <c r="G29" i="31"/>
  <c r="A32" i="31"/>
  <c r="G32" i="31"/>
  <c r="G46" i="31"/>
  <c r="G47" i="31"/>
  <c r="G48" i="31"/>
  <c r="G49" i="31"/>
  <c r="C54" i="31"/>
  <c r="C67" i="31"/>
  <c r="C68" i="31" s="1"/>
  <c r="A23" i="31"/>
  <c r="H23" i="31" s="1"/>
  <c r="A27" i="31"/>
  <c r="H27" i="31" s="1"/>
  <c r="G28" i="31"/>
  <c r="A33" i="31"/>
  <c r="G33" i="31"/>
  <c r="H9" i="28"/>
  <c r="K13" i="1" s="1"/>
  <c r="F13" i="1"/>
  <c r="H9" i="29"/>
  <c r="K17" i="1" s="1"/>
  <c r="F17" i="1"/>
  <c r="H9" i="30"/>
  <c r="K9" i="1" s="1"/>
  <c r="F9" i="1"/>
  <c r="D20" i="30"/>
  <c r="H20" i="30" s="1"/>
  <c r="T9" i="1" s="1"/>
  <c r="G22" i="30"/>
  <c r="G30" i="30"/>
  <c r="G21" i="30"/>
  <c r="A34" i="30"/>
  <c r="A21" i="30"/>
  <c r="H21" i="30" s="1"/>
  <c r="U9" i="1" s="1"/>
  <c r="G27" i="30"/>
  <c r="G34" i="30"/>
  <c r="A30" i="30"/>
  <c r="A29" i="30"/>
  <c r="H29" i="30" s="1"/>
  <c r="A31" i="30"/>
  <c r="G31" i="30"/>
  <c r="A35" i="30"/>
  <c r="G35" i="30"/>
  <c r="C65" i="30"/>
  <c r="A22" i="30"/>
  <c r="H22" i="30" s="1"/>
  <c r="V9" i="1" s="1"/>
  <c r="G23" i="30"/>
  <c r="A28" i="30"/>
  <c r="H28" i="30" s="1"/>
  <c r="G29" i="30"/>
  <c r="A32" i="30"/>
  <c r="G32" i="30"/>
  <c r="G46" i="30"/>
  <c r="G47" i="30"/>
  <c r="G48" i="30"/>
  <c r="G49" i="30"/>
  <c r="C54" i="30"/>
  <c r="C67" i="30"/>
  <c r="C68" i="30" s="1"/>
  <c r="A23" i="30"/>
  <c r="H23" i="30" s="1"/>
  <c r="A27" i="30"/>
  <c r="H27" i="30" s="1"/>
  <c r="AA9" i="1" s="1"/>
  <c r="G28" i="30"/>
  <c r="A33" i="30"/>
  <c r="G33" i="30"/>
  <c r="H18" i="29"/>
  <c r="S17" i="1" s="1"/>
  <c r="G30" i="29"/>
  <c r="A34" i="29"/>
  <c r="G21" i="29"/>
  <c r="G27" i="29"/>
  <c r="G34" i="29"/>
  <c r="A21" i="29"/>
  <c r="H21" i="29" s="1"/>
  <c r="G22" i="29"/>
  <c r="A29" i="29"/>
  <c r="H29" i="29" s="1"/>
  <c r="AC17" i="1" s="1"/>
  <c r="A31" i="29"/>
  <c r="G31" i="29"/>
  <c r="A35" i="29"/>
  <c r="G35" i="29"/>
  <c r="C65" i="29"/>
  <c r="A22" i="29"/>
  <c r="H22" i="29" s="1"/>
  <c r="G23" i="29"/>
  <c r="A28" i="29"/>
  <c r="H28" i="29" s="1"/>
  <c r="AB17" i="1" s="1"/>
  <c r="G29" i="29"/>
  <c r="A32" i="29"/>
  <c r="G32" i="29"/>
  <c r="G46" i="29"/>
  <c r="G47" i="29"/>
  <c r="G48" i="29"/>
  <c r="G49" i="29"/>
  <c r="C54" i="29"/>
  <c r="C67" i="29"/>
  <c r="C68" i="29" s="1"/>
  <c r="A23" i="29"/>
  <c r="H23" i="29" s="1"/>
  <c r="A27" i="29"/>
  <c r="H27" i="29" s="1"/>
  <c r="AA17" i="1" s="1"/>
  <c r="G28" i="29"/>
  <c r="A33" i="29"/>
  <c r="G33" i="29"/>
  <c r="G30" i="28"/>
  <c r="A34" i="28"/>
  <c r="A21" i="28"/>
  <c r="H21" i="28" s="1"/>
  <c r="G22" i="28"/>
  <c r="A29" i="28"/>
  <c r="H29" i="28" s="1"/>
  <c r="A31" i="28"/>
  <c r="G31" i="28"/>
  <c r="A35" i="28"/>
  <c r="G35" i="28"/>
  <c r="C65" i="28"/>
  <c r="A22" i="28"/>
  <c r="H22" i="28" s="1"/>
  <c r="G23" i="28"/>
  <c r="A28" i="28"/>
  <c r="H28" i="28" s="1"/>
  <c r="G29" i="28"/>
  <c r="A32" i="28"/>
  <c r="G32" i="28"/>
  <c r="G46" i="28"/>
  <c r="G47" i="28"/>
  <c r="G48" i="28"/>
  <c r="G49" i="28"/>
  <c r="C54" i="28"/>
  <c r="C67" i="28"/>
  <c r="C68" i="28" s="1"/>
  <c r="A23" i="28"/>
  <c r="H23" i="28" s="1"/>
  <c r="A27" i="28"/>
  <c r="H27" i="28" s="1"/>
  <c r="AA13" i="1" s="1"/>
  <c r="G28" i="28"/>
  <c r="A33" i="28"/>
  <c r="G33" i="28"/>
  <c r="G30" i="27"/>
  <c r="A34" i="27"/>
  <c r="D20" i="27"/>
  <c r="G21" i="27"/>
  <c r="G27" i="27"/>
  <c r="G34" i="27"/>
  <c r="A30" i="27"/>
  <c r="A21" i="27"/>
  <c r="H21" i="27" s="1"/>
  <c r="G22" i="27"/>
  <c r="A29" i="27"/>
  <c r="H29" i="27" s="1"/>
  <c r="AC14" i="1" s="1"/>
  <c r="A31" i="27"/>
  <c r="G31" i="27"/>
  <c r="A35" i="27"/>
  <c r="G35" i="27"/>
  <c r="C65" i="27"/>
  <c r="A22" i="27"/>
  <c r="H22" i="27" s="1"/>
  <c r="G23" i="27"/>
  <c r="A28" i="27"/>
  <c r="H28" i="27" s="1"/>
  <c r="AB14" i="1" s="1"/>
  <c r="G29" i="27"/>
  <c r="A32" i="27"/>
  <c r="G32" i="27"/>
  <c r="G46" i="27"/>
  <c r="G47" i="27"/>
  <c r="G48" i="27"/>
  <c r="G49" i="27"/>
  <c r="C54" i="27"/>
  <c r="C67" i="27"/>
  <c r="C68" i="27" s="1"/>
  <c r="A23" i="27"/>
  <c r="H23" i="27" s="1"/>
  <c r="A27" i="27"/>
  <c r="H27" i="27" s="1"/>
  <c r="AA14" i="1" s="1"/>
  <c r="G28" i="27"/>
  <c r="A33" i="27"/>
  <c r="G33" i="27"/>
  <c r="G30" i="26"/>
  <c r="A34" i="26"/>
  <c r="D20" i="26"/>
  <c r="H20" i="26" s="1"/>
  <c r="T18" i="1" s="1"/>
  <c r="G21" i="26"/>
  <c r="G27" i="26"/>
  <c r="G34" i="26"/>
  <c r="A30" i="26"/>
  <c r="A21" i="26"/>
  <c r="H21" i="26" s="1"/>
  <c r="G22" i="26"/>
  <c r="A29" i="26"/>
  <c r="H29" i="26" s="1"/>
  <c r="A31" i="26"/>
  <c r="G31" i="26"/>
  <c r="A35" i="26"/>
  <c r="G35" i="26"/>
  <c r="C65" i="26"/>
  <c r="A22" i="26"/>
  <c r="H22" i="26" s="1"/>
  <c r="G23" i="26"/>
  <c r="A28" i="26"/>
  <c r="H28" i="26" s="1"/>
  <c r="G29" i="26"/>
  <c r="A32" i="26"/>
  <c r="G32" i="26"/>
  <c r="G46" i="26"/>
  <c r="G47" i="26"/>
  <c r="G48" i="26"/>
  <c r="G49" i="26"/>
  <c r="C54" i="26"/>
  <c r="C67" i="26"/>
  <c r="C68" i="26" s="1"/>
  <c r="A23" i="26"/>
  <c r="H23" i="26" s="1"/>
  <c r="A27" i="26"/>
  <c r="H27" i="26" s="1"/>
  <c r="G28" i="26"/>
  <c r="A33" i="26"/>
  <c r="G33" i="26"/>
  <c r="G30" i="25"/>
  <c r="A34" i="25"/>
  <c r="D20" i="25"/>
  <c r="G21" i="25"/>
  <c r="G27" i="25"/>
  <c r="G34" i="25"/>
  <c r="A30" i="25"/>
  <c r="A21" i="25"/>
  <c r="H21" i="25" s="1"/>
  <c r="G22" i="25"/>
  <c r="A29" i="25"/>
  <c r="H29" i="25" s="1"/>
  <c r="A31" i="25"/>
  <c r="G31" i="25"/>
  <c r="A35" i="25"/>
  <c r="G35" i="25"/>
  <c r="C65" i="25"/>
  <c r="A22" i="25"/>
  <c r="H22" i="25" s="1"/>
  <c r="G23" i="25"/>
  <c r="A28" i="25"/>
  <c r="H28" i="25" s="1"/>
  <c r="G29" i="25"/>
  <c r="A32" i="25"/>
  <c r="G32" i="25"/>
  <c r="G46" i="25"/>
  <c r="G47" i="25"/>
  <c r="G48" i="25"/>
  <c r="G49" i="25"/>
  <c r="C54" i="25"/>
  <c r="C67" i="25"/>
  <c r="C68" i="25" s="1"/>
  <c r="A23" i="25"/>
  <c r="H23" i="25" s="1"/>
  <c r="A27" i="25"/>
  <c r="H27" i="25" s="1"/>
  <c r="AA15" i="1" s="1"/>
  <c r="G28" i="25"/>
  <c r="A33" i="25"/>
  <c r="G33" i="25"/>
  <c r="S4" i="1"/>
  <c r="G27" i="24"/>
  <c r="A30" i="24"/>
  <c r="G30" i="24"/>
  <c r="A34" i="24"/>
  <c r="G34" i="24"/>
  <c r="A21" i="24"/>
  <c r="H21" i="24" s="1"/>
  <c r="U4" i="1" s="1"/>
  <c r="G22" i="24"/>
  <c r="A29" i="24"/>
  <c r="H29" i="24" s="1"/>
  <c r="AC4" i="1" s="1"/>
  <c r="A31" i="24"/>
  <c r="G31" i="24"/>
  <c r="A35" i="24"/>
  <c r="G35" i="24"/>
  <c r="C65" i="24"/>
  <c r="A22" i="24"/>
  <c r="H22" i="24" s="1"/>
  <c r="V4" i="1" s="1"/>
  <c r="G23" i="24"/>
  <c r="A28" i="24"/>
  <c r="H28" i="24" s="1"/>
  <c r="AB4" i="1" s="1"/>
  <c r="G29" i="24"/>
  <c r="A32" i="24"/>
  <c r="G32" i="24"/>
  <c r="G46" i="24"/>
  <c r="G47" i="24"/>
  <c r="G48" i="24"/>
  <c r="G49" i="24"/>
  <c r="C54" i="24"/>
  <c r="C67" i="24"/>
  <c r="C68" i="24" s="1"/>
  <c r="A23" i="24"/>
  <c r="H23" i="24" s="1"/>
  <c r="W4" i="1" s="1"/>
  <c r="A27" i="24"/>
  <c r="H27" i="24" s="1"/>
  <c r="AA4" i="1" s="1"/>
  <c r="G28" i="24"/>
  <c r="A33" i="24"/>
  <c r="G33" i="24"/>
  <c r="G30" i="22"/>
  <c r="A34" i="22"/>
  <c r="D20" i="22"/>
  <c r="G21" i="22"/>
  <c r="G27" i="22"/>
  <c r="G34" i="22"/>
  <c r="A30" i="22"/>
  <c r="A21" i="22"/>
  <c r="H21" i="22" s="1"/>
  <c r="U12" i="1" s="1"/>
  <c r="G22" i="22"/>
  <c r="A29" i="22"/>
  <c r="H29" i="22" s="1"/>
  <c r="A31" i="22"/>
  <c r="G31" i="22"/>
  <c r="A35" i="22"/>
  <c r="G35" i="22"/>
  <c r="C65" i="22"/>
  <c r="A22" i="22"/>
  <c r="H22" i="22" s="1"/>
  <c r="V12" i="1" s="1"/>
  <c r="G23" i="22"/>
  <c r="A28" i="22"/>
  <c r="H28" i="22" s="1"/>
  <c r="G29" i="22"/>
  <c r="A32" i="22"/>
  <c r="G32" i="22"/>
  <c r="G46" i="22"/>
  <c r="G47" i="22"/>
  <c r="G48" i="22"/>
  <c r="G49" i="22"/>
  <c r="C54" i="22"/>
  <c r="C67" i="22"/>
  <c r="C68" i="22" s="1"/>
  <c r="A23" i="22"/>
  <c r="H23" i="22" s="1"/>
  <c r="A27" i="22"/>
  <c r="H27" i="22" s="1"/>
  <c r="AA12" i="1" s="1"/>
  <c r="G28" i="22"/>
  <c r="A33" i="22"/>
  <c r="G33" i="22"/>
  <c r="G30" i="21"/>
  <c r="S6" i="2"/>
  <c r="A34" i="21"/>
  <c r="A21" i="21"/>
  <c r="H21" i="21" s="1"/>
  <c r="U6" i="2" s="1"/>
  <c r="G22" i="21"/>
  <c r="A29" i="21"/>
  <c r="H29" i="21" s="1"/>
  <c r="A31" i="21"/>
  <c r="G31" i="21"/>
  <c r="A35" i="21"/>
  <c r="G35" i="21"/>
  <c r="C65" i="21"/>
  <c r="A22" i="21"/>
  <c r="H22" i="21" s="1"/>
  <c r="V6" i="2" s="1"/>
  <c r="G23" i="21"/>
  <c r="A28" i="21"/>
  <c r="H28" i="21" s="1"/>
  <c r="G29" i="21"/>
  <c r="A32" i="21"/>
  <c r="G32" i="21"/>
  <c r="G46" i="21"/>
  <c r="G47" i="21"/>
  <c r="G48" i="21"/>
  <c r="G49" i="21"/>
  <c r="C54" i="21"/>
  <c r="C67" i="21"/>
  <c r="C68" i="21" s="1"/>
  <c r="A23" i="21"/>
  <c r="H23" i="21" s="1"/>
  <c r="A27" i="21"/>
  <c r="H27" i="21" s="1"/>
  <c r="AA6" i="2" s="1"/>
  <c r="G28" i="21"/>
  <c r="A33" i="21"/>
  <c r="G33" i="21"/>
  <c r="A29" i="19"/>
  <c r="H29" i="19" s="1"/>
  <c r="A35" i="19"/>
  <c r="C65" i="19"/>
  <c r="D20" i="19"/>
  <c r="G22" i="19"/>
  <c r="A30" i="19"/>
  <c r="G31" i="19"/>
  <c r="G21" i="19"/>
  <c r="G30" i="19"/>
  <c r="A34" i="19"/>
  <c r="G35" i="19"/>
  <c r="A21" i="19"/>
  <c r="H21" i="19" s="1"/>
  <c r="U5" i="1" s="1"/>
  <c r="G27" i="19"/>
  <c r="A31" i="19"/>
  <c r="G34" i="19"/>
  <c r="A22" i="19"/>
  <c r="H22" i="19" s="1"/>
  <c r="V5" i="1" s="1"/>
  <c r="G23" i="19"/>
  <c r="A28" i="19"/>
  <c r="H28" i="19" s="1"/>
  <c r="G29" i="19"/>
  <c r="A32" i="19"/>
  <c r="G32" i="19"/>
  <c r="G46" i="19"/>
  <c r="G47" i="19"/>
  <c r="G48" i="19"/>
  <c r="G49" i="19"/>
  <c r="C54" i="19"/>
  <c r="C67" i="19"/>
  <c r="C68" i="19" s="1"/>
  <c r="A23" i="19"/>
  <c r="H23" i="19" s="1"/>
  <c r="A27" i="19"/>
  <c r="H27" i="19" s="1"/>
  <c r="G28" i="19"/>
  <c r="A33" i="19"/>
  <c r="G33" i="19"/>
  <c r="A30" i="18"/>
  <c r="G30" i="18"/>
  <c r="A34" i="18"/>
  <c r="D20" i="18"/>
  <c r="G21" i="18"/>
  <c r="G27" i="18"/>
  <c r="G34" i="18"/>
  <c r="A21" i="18"/>
  <c r="H21" i="18" s="1"/>
  <c r="U7" i="1" s="1"/>
  <c r="G22" i="18"/>
  <c r="A29" i="18"/>
  <c r="H29" i="18" s="1"/>
  <c r="A31" i="18"/>
  <c r="G31" i="18"/>
  <c r="A35" i="18"/>
  <c r="G35" i="18"/>
  <c r="C65" i="18"/>
  <c r="A22" i="18"/>
  <c r="H22" i="18" s="1"/>
  <c r="V7" i="1" s="1"/>
  <c r="G23" i="18"/>
  <c r="A28" i="18"/>
  <c r="H28" i="18" s="1"/>
  <c r="G29" i="18"/>
  <c r="A32" i="18"/>
  <c r="G32" i="18"/>
  <c r="G46" i="18"/>
  <c r="G47" i="18"/>
  <c r="G48" i="18"/>
  <c r="G49" i="18"/>
  <c r="C54" i="18"/>
  <c r="C67" i="18"/>
  <c r="C68" i="18" s="1"/>
  <c r="A23" i="18"/>
  <c r="H23" i="18" s="1"/>
  <c r="A27" i="18"/>
  <c r="H27" i="18" s="1"/>
  <c r="AA7" i="1" s="1"/>
  <c r="G28" i="18"/>
  <c r="A33" i="18"/>
  <c r="G33" i="18"/>
  <c r="A30" i="17"/>
  <c r="G30" i="17"/>
  <c r="A34" i="17"/>
  <c r="D20" i="17"/>
  <c r="G21" i="17"/>
  <c r="G27" i="17"/>
  <c r="G34" i="17"/>
  <c r="A21" i="17"/>
  <c r="H21" i="17" s="1"/>
  <c r="U16" i="1" s="1"/>
  <c r="G22" i="17"/>
  <c r="A29" i="17"/>
  <c r="H29" i="17" s="1"/>
  <c r="A31" i="17"/>
  <c r="G31" i="17"/>
  <c r="A35" i="17"/>
  <c r="G35" i="17"/>
  <c r="C65" i="17"/>
  <c r="A22" i="17"/>
  <c r="H22" i="17" s="1"/>
  <c r="V16" i="1" s="1"/>
  <c r="G23" i="17"/>
  <c r="A28" i="17"/>
  <c r="H28" i="17" s="1"/>
  <c r="G29" i="17"/>
  <c r="A32" i="17"/>
  <c r="G32" i="17"/>
  <c r="G46" i="17"/>
  <c r="G47" i="17"/>
  <c r="G48" i="17"/>
  <c r="G49" i="17"/>
  <c r="C54" i="17"/>
  <c r="C67" i="17"/>
  <c r="C68" i="17" s="1"/>
  <c r="A23" i="17"/>
  <c r="H23" i="17" s="1"/>
  <c r="A27" i="17"/>
  <c r="H27" i="17" s="1"/>
  <c r="AA16" i="1" s="1"/>
  <c r="G28" i="17"/>
  <c r="A33" i="17"/>
  <c r="G33" i="17"/>
  <c r="S3" i="1"/>
  <c r="A34" i="16"/>
  <c r="G21" i="16"/>
  <c r="G27" i="16"/>
  <c r="G34" i="16"/>
  <c r="A30" i="16"/>
  <c r="A21" i="16"/>
  <c r="H21" i="16" s="1"/>
  <c r="U3" i="1" s="1"/>
  <c r="G22" i="16"/>
  <c r="A29" i="16"/>
  <c r="H29" i="16" s="1"/>
  <c r="A31" i="16"/>
  <c r="G31" i="16"/>
  <c r="A35" i="16"/>
  <c r="G35" i="16"/>
  <c r="C65" i="16"/>
  <c r="A22" i="16"/>
  <c r="H22" i="16" s="1"/>
  <c r="V3" i="1" s="1"/>
  <c r="G23" i="16"/>
  <c r="A28" i="16"/>
  <c r="H28" i="16" s="1"/>
  <c r="G29" i="16"/>
  <c r="A32" i="16"/>
  <c r="G32" i="16"/>
  <c r="G46" i="16"/>
  <c r="G47" i="16"/>
  <c r="G48" i="16"/>
  <c r="G49" i="16"/>
  <c r="C54" i="16"/>
  <c r="C67" i="16"/>
  <c r="C68" i="16" s="1"/>
  <c r="A23" i="16"/>
  <c r="H23" i="16" s="1"/>
  <c r="A27" i="16"/>
  <c r="H27" i="16" s="1"/>
  <c r="AA3" i="1" s="1"/>
  <c r="G28" i="16"/>
  <c r="A33" i="16"/>
  <c r="G33" i="16"/>
  <c r="A29" i="15"/>
  <c r="H29" i="15" s="1"/>
  <c r="A35" i="15"/>
  <c r="G21" i="15"/>
  <c r="G30" i="15"/>
  <c r="A34" i="15"/>
  <c r="G35" i="15"/>
  <c r="C65" i="15"/>
  <c r="A22" i="15"/>
  <c r="H22" i="15" s="1"/>
  <c r="V2" i="1" s="1"/>
  <c r="G23" i="15"/>
  <c r="A28" i="15"/>
  <c r="H28" i="15" s="1"/>
  <c r="G29" i="15"/>
  <c r="A32" i="15"/>
  <c r="G32" i="15"/>
  <c r="G46" i="15"/>
  <c r="G47" i="15"/>
  <c r="G48" i="15"/>
  <c r="G49" i="15"/>
  <c r="C54" i="15"/>
  <c r="C67" i="15"/>
  <c r="C68" i="15" s="1"/>
  <c r="A23" i="15"/>
  <c r="H23" i="15" s="1"/>
  <c r="A27" i="15"/>
  <c r="H27" i="15" s="1"/>
  <c r="AA2" i="1" s="1"/>
  <c r="G28" i="15"/>
  <c r="A33" i="15"/>
  <c r="G33" i="15"/>
  <c r="H18" i="14"/>
  <c r="S10" i="1" s="1"/>
  <c r="D20" i="14"/>
  <c r="G21" i="14"/>
  <c r="G27" i="14"/>
  <c r="A30" i="14"/>
  <c r="G30" i="14"/>
  <c r="A34" i="14"/>
  <c r="G34" i="14"/>
  <c r="A21" i="14"/>
  <c r="H21" i="14" s="1"/>
  <c r="U10" i="1" s="1"/>
  <c r="G22" i="14"/>
  <c r="A29" i="14"/>
  <c r="H29" i="14" s="1"/>
  <c r="A31" i="14"/>
  <c r="G31" i="14"/>
  <c r="A35" i="14"/>
  <c r="G35" i="14"/>
  <c r="C65" i="14"/>
  <c r="A22" i="14"/>
  <c r="H22" i="14" s="1"/>
  <c r="V10" i="1" s="1"/>
  <c r="G23" i="14"/>
  <c r="A28" i="14"/>
  <c r="H28" i="14" s="1"/>
  <c r="G29" i="14"/>
  <c r="A32" i="14"/>
  <c r="G32" i="14"/>
  <c r="G46" i="14"/>
  <c r="G47" i="14"/>
  <c r="G48" i="14"/>
  <c r="G49" i="14"/>
  <c r="C54" i="14"/>
  <c r="C67" i="14"/>
  <c r="C68" i="14" s="1"/>
  <c r="A23" i="14"/>
  <c r="H23" i="14" s="1"/>
  <c r="A27" i="14"/>
  <c r="H27" i="14" s="1"/>
  <c r="AA10" i="1" s="1"/>
  <c r="G28" i="14"/>
  <c r="A33" i="14"/>
  <c r="G33" i="14"/>
  <c r="D34" i="17"/>
  <c r="E42" i="19"/>
  <c r="C31" i="42"/>
  <c r="E41" i="42"/>
  <c r="E47" i="42"/>
  <c r="A42" i="19"/>
  <c r="D30" i="31"/>
  <c r="E38" i="19"/>
  <c r="E44" i="19"/>
  <c r="E38" i="42"/>
  <c r="E47" i="19"/>
  <c r="A47" i="19"/>
  <c r="E49" i="19"/>
  <c r="A46" i="42"/>
  <c r="E46" i="19"/>
  <c r="A44" i="19"/>
  <c r="E45" i="19"/>
  <c r="E39" i="19"/>
  <c r="A46" i="19"/>
  <c r="C30" i="30"/>
  <c r="C30" i="31"/>
  <c r="A49" i="19"/>
  <c r="E43" i="19"/>
  <c r="D30" i="18"/>
  <c r="E40" i="19"/>
  <c r="E41" i="19"/>
  <c r="C33" i="42"/>
  <c r="A40" i="42"/>
  <c r="D34" i="19"/>
  <c r="D35" i="42"/>
  <c r="E49" i="42"/>
  <c r="A39" i="19"/>
  <c r="E39" i="42"/>
  <c r="A45" i="19"/>
  <c r="A45" i="42"/>
  <c r="A48" i="42"/>
  <c r="C35" i="42"/>
  <c r="A44" i="42"/>
  <c r="D34" i="30"/>
  <c r="C35" i="19"/>
  <c r="D34" i="28"/>
  <c r="A39" i="42"/>
  <c r="C34" i="30"/>
  <c r="E40" i="42"/>
  <c r="D34" i="26"/>
  <c r="E48" i="19"/>
  <c r="E31" i="42"/>
  <c r="C31" i="19"/>
  <c r="A43" i="42"/>
  <c r="E46" i="42"/>
  <c r="A41" i="19"/>
  <c r="E43" i="42"/>
  <c r="D34" i="25"/>
  <c r="D30" i="19"/>
  <c r="D34" i="18"/>
  <c r="A47" i="42"/>
  <c r="D31" i="15"/>
  <c r="D30" i="16"/>
  <c r="E35" i="42"/>
  <c r="C34" i="31"/>
  <c r="C34" i="19"/>
  <c r="D34" i="22"/>
  <c r="D34" i="27"/>
  <c r="E48" i="42"/>
  <c r="D34" i="31"/>
  <c r="E33" i="42"/>
  <c r="C30" i="16"/>
  <c r="E45" i="42"/>
  <c r="D33" i="42"/>
  <c r="C30" i="19"/>
  <c r="E30" i="29"/>
  <c r="C34" i="16"/>
  <c r="A40" i="19"/>
  <c r="D34" i="21"/>
  <c r="A41" i="42"/>
  <c r="A43" i="19"/>
  <c r="A48" i="19"/>
  <c r="A38" i="42"/>
  <c r="A49" i="42"/>
  <c r="A42" i="42"/>
  <c r="C34" i="17"/>
  <c r="A38" i="19"/>
  <c r="E44" i="42"/>
  <c r="E42" i="42"/>
  <c r="H36" i="51" l="1"/>
  <c r="AE11" i="1" s="1"/>
  <c r="C60" i="51"/>
  <c r="C61" i="51" s="1"/>
  <c r="C57" i="51"/>
  <c r="C58" i="51" s="1"/>
  <c r="H36" i="50"/>
  <c r="AE8" i="1" s="1"/>
  <c r="C60" i="50"/>
  <c r="C61" i="50" s="1"/>
  <c r="C57" i="50"/>
  <c r="C58" i="50" s="1"/>
  <c r="H36" i="49"/>
  <c r="AE6" i="1" s="1"/>
  <c r="C60" i="49"/>
  <c r="C61" i="49" s="1"/>
  <c r="C57" i="49"/>
  <c r="C58" i="49" s="1"/>
  <c r="H36" i="48"/>
  <c r="AE19" i="1" s="1"/>
  <c r="C57" i="48"/>
  <c r="C58" i="48" s="1"/>
  <c r="C60" i="48"/>
  <c r="C61" i="48" s="1"/>
  <c r="H44" i="42"/>
  <c r="H40" i="42"/>
  <c r="H49" i="42"/>
  <c r="H48" i="42"/>
  <c r="H47" i="42"/>
  <c r="H46" i="42"/>
  <c r="H42" i="42"/>
  <c r="H38" i="42"/>
  <c r="H45" i="42"/>
  <c r="H43" i="42"/>
  <c r="H41" i="42"/>
  <c r="H39" i="42"/>
  <c r="C60" i="42"/>
  <c r="C61" i="42" s="1"/>
  <c r="C57" i="42"/>
  <c r="C58" i="42" s="1"/>
  <c r="H36" i="41"/>
  <c r="AE7" i="2" s="1"/>
  <c r="C60" i="41"/>
  <c r="C61" i="41" s="1"/>
  <c r="C57" i="41"/>
  <c r="C58" i="41" s="1"/>
  <c r="H36" i="39"/>
  <c r="AE2" i="2" s="1"/>
  <c r="C60" i="39"/>
  <c r="C61" i="39" s="1"/>
  <c r="C57" i="39"/>
  <c r="C58" i="39" s="1"/>
  <c r="C60" i="37"/>
  <c r="C61" i="37" s="1"/>
  <c r="C57" i="37"/>
  <c r="C58" i="37" s="1"/>
  <c r="H36" i="36"/>
  <c r="AE3" i="2" s="1"/>
  <c r="C60" i="36"/>
  <c r="C61" i="36" s="1"/>
  <c r="C57" i="36"/>
  <c r="C58" i="36" s="1"/>
  <c r="H36" i="34"/>
  <c r="AE9" i="2" s="1"/>
  <c r="C60" i="34"/>
  <c r="C61" i="34" s="1"/>
  <c r="C57" i="34"/>
  <c r="C58" i="34" s="1"/>
  <c r="H36" i="33"/>
  <c r="AE5" i="2" s="1"/>
  <c r="C60" i="33"/>
  <c r="C61" i="33" s="1"/>
  <c r="C57" i="33"/>
  <c r="C58" i="33" s="1"/>
  <c r="C60" i="31"/>
  <c r="C61" i="31" s="1"/>
  <c r="C57" i="31"/>
  <c r="C58" i="31" s="1"/>
  <c r="H36" i="30"/>
  <c r="AE9" i="1" s="1"/>
  <c r="C60" i="30"/>
  <c r="C61" i="30" s="1"/>
  <c r="C57" i="30"/>
  <c r="C58" i="30" s="1"/>
  <c r="H36" i="29"/>
  <c r="AE17" i="1" s="1"/>
  <c r="C60" i="29"/>
  <c r="C61" i="29" s="1"/>
  <c r="C57" i="29"/>
  <c r="C58" i="29" s="1"/>
  <c r="H36" i="28"/>
  <c r="AE13" i="1" s="1"/>
  <c r="C60" i="28"/>
  <c r="C61" i="28" s="1"/>
  <c r="C57" i="28"/>
  <c r="C58" i="28" s="1"/>
  <c r="H36" i="27"/>
  <c r="AE14" i="1" s="1"/>
  <c r="C60" i="27"/>
  <c r="C61" i="27" s="1"/>
  <c r="C57" i="27"/>
  <c r="C58" i="27" s="1"/>
  <c r="H36" i="26"/>
  <c r="AE18" i="1" s="1"/>
  <c r="C60" i="26"/>
  <c r="C61" i="26" s="1"/>
  <c r="C57" i="26"/>
  <c r="C58" i="26" s="1"/>
  <c r="H36" i="25"/>
  <c r="AE15" i="1" s="1"/>
  <c r="C60" i="25"/>
  <c r="C61" i="25" s="1"/>
  <c r="C57" i="25"/>
  <c r="C58" i="25" s="1"/>
  <c r="H36" i="24"/>
  <c r="AE4" i="1" s="1"/>
  <c r="C60" i="24"/>
  <c r="C61" i="24" s="1"/>
  <c r="C57" i="24"/>
  <c r="C58" i="24" s="1"/>
  <c r="H36" i="22"/>
  <c r="AE12" i="1" s="1"/>
  <c r="C60" i="22"/>
  <c r="C61" i="22" s="1"/>
  <c r="C57" i="22"/>
  <c r="C58" i="22" s="1"/>
  <c r="H36" i="21"/>
  <c r="AE6" i="2" s="1"/>
  <c r="C60" i="21"/>
  <c r="C61" i="21" s="1"/>
  <c r="C57" i="21"/>
  <c r="C58" i="21" s="1"/>
  <c r="H49" i="19"/>
  <c r="H47" i="19"/>
  <c r="H38" i="19"/>
  <c r="H43" i="19"/>
  <c r="H39" i="19"/>
  <c r="H48" i="19"/>
  <c r="H46" i="19"/>
  <c r="H42" i="19"/>
  <c r="H44" i="19"/>
  <c r="H36" i="19"/>
  <c r="AE5" i="1" s="1"/>
  <c r="H45" i="19"/>
  <c r="H40" i="19"/>
  <c r="H41" i="19"/>
  <c r="C57" i="19"/>
  <c r="C58" i="19" s="1"/>
  <c r="C60" i="19"/>
  <c r="C61" i="19" s="1"/>
  <c r="H36" i="18"/>
  <c r="AE7" i="1" s="1"/>
  <c r="C60" i="18"/>
  <c r="C61" i="18" s="1"/>
  <c r="C57" i="18"/>
  <c r="C58" i="18" s="1"/>
  <c r="AE16" i="1"/>
  <c r="C60" i="17"/>
  <c r="C61" i="17" s="1"/>
  <c r="C57" i="17"/>
  <c r="C58" i="17" s="1"/>
  <c r="H36" i="16"/>
  <c r="AE3" i="1" s="1"/>
  <c r="C60" i="16"/>
  <c r="C61" i="16" s="1"/>
  <c r="C57" i="16"/>
  <c r="C58" i="16" s="1"/>
  <c r="H36" i="15"/>
  <c r="AE2" i="1" s="1"/>
  <c r="C57" i="15"/>
  <c r="C58" i="15" s="1"/>
  <c r="C60" i="15"/>
  <c r="C61" i="15" s="1"/>
  <c r="H36" i="14"/>
  <c r="AE10" i="1" s="1"/>
  <c r="C60" i="14"/>
  <c r="C61" i="14" s="1"/>
  <c r="C57" i="14"/>
  <c r="C58" i="14" s="1"/>
  <c r="E45" i="51"/>
  <c r="A39" i="51"/>
  <c r="A42" i="51"/>
  <c r="A48" i="51"/>
  <c r="A46" i="51"/>
  <c r="E44" i="51"/>
  <c r="E43" i="51"/>
  <c r="E40" i="51"/>
  <c r="A45" i="51"/>
  <c r="E39" i="51"/>
  <c r="E41" i="51"/>
  <c r="E48" i="51"/>
  <c r="E46" i="51"/>
  <c r="E49" i="51"/>
  <c r="E38" i="51"/>
  <c r="E47" i="51"/>
  <c r="A47" i="51"/>
  <c r="A38" i="51"/>
  <c r="A44" i="51"/>
  <c r="A49" i="51"/>
  <c r="A40" i="51"/>
  <c r="A43" i="51"/>
  <c r="A41" i="51"/>
  <c r="E42" i="51"/>
  <c r="H39" i="51" l="1"/>
  <c r="H47" i="51"/>
  <c r="H40" i="51"/>
  <c r="H42" i="51"/>
  <c r="H48" i="51"/>
  <c r="H41" i="51"/>
  <c r="H43" i="51"/>
  <c r="H49" i="51"/>
  <c r="H45" i="51"/>
  <c r="H44" i="51"/>
  <c r="H38" i="51"/>
  <c r="H46" i="51"/>
  <c r="H50" i="42"/>
  <c r="H50" i="19"/>
  <c r="H17" i="3"/>
  <c r="H16" i="3"/>
  <c r="H15" i="3"/>
  <c r="H14" i="3"/>
  <c r="H13" i="3"/>
  <c r="H18" i="3" s="1"/>
  <c r="H12" i="3"/>
  <c r="H11" i="3"/>
  <c r="H50" i="51" l="1"/>
  <c r="H51" i="42"/>
  <c r="AG8" i="2" s="1"/>
  <c r="AF8" i="2"/>
  <c r="AH8" i="2" s="1"/>
  <c r="H51" i="19"/>
  <c r="AG5" i="1" s="1"/>
  <c r="AF5" i="1"/>
  <c r="AH5" i="1" s="1"/>
  <c r="D20" i="3"/>
  <c r="H51" i="51" l="1"/>
  <c r="AG11" i="1" s="1"/>
  <c r="AF11" i="1"/>
  <c r="AH11" i="1" s="1"/>
  <c r="A35" i="3"/>
  <c r="A31" i="3"/>
  <c r="A27" i="3"/>
  <c r="C55" i="3"/>
  <c r="A34" i="3"/>
  <c r="A30" i="3"/>
  <c r="A23" i="3"/>
  <c r="A33" i="3"/>
  <c r="A29" i="3"/>
  <c r="A22" i="3"/>
  <c r="A32" i="3"/>
  <c r="A28" i="3"/>
  <c r="A21" i="3"/>
  <c r="D33" i="37"/>
  <c r="C32" i="42"/>
  <c r="C31" i="31"/>
  <c r="E43" i="41"/>
  <c r="D31" i="33"/>
  <c r="E30" i="31"/>
  <c r="E38" i="49"/>
  <c r="A49" i="31"/>
  <c r="A46" i="34"/>
  <c r="D31" i="39"/>
  <c r="A47" i="48"/>
  <c r="A39" i="39"/>
  <c r="E49" i="39"/>
  <c r="A49" i="49"/>
  <c r="A42" i="48"/>
  <c r="C30" i="42"/>
  <c r="E41" i="39"/>
  <c r="C33" i="33"/>
  <c r="C33" i="34"/>
  <c r="C30" i="33"/>
  <c r="A49" i="34"/>
  <c r="A44" i="39"/>
  <c r="C31" i="48"/>
  <c r="A44" i="50"/>
  <c r="A44" i="48"/>
  <c r="E43" i="48"/>
  <c r="E31" i="41"/>
  <c r="A45" i="33"/>
  <c r="A48" i="50"/>
  <c r="A42" i="41"/>
  <c r="A43" i="33"/>
  <c r="E45" i="41"/>
  <c r="E34" i="37"/>
  <c r="C30" i="36"/>
  <c r="A48" i="36"/>
  <c r="E48" i="50"/>
  <c r="C34" i="48"/>
  <c r="A42" i="34"/>
  <c r="A49" i="48"/>
  <c r="A42" i="36"/>
  <c r="C32" i="36"/>
  <c r="A46" i="50"/>
  <c r="E46" i="37"/>
  <c r="E47" i="50"/>
  <c r="E32" i="34"/>
  <c r="E30" i="39"/>
  <c r="A39" i="31"/>
  <c r="A40" i="36"/>
  <c r="E46" i="33"/>
  <c r="E35" i="34"/>
  <c r="E32" i="42"/>
  <c r="A40" i="49"/>
  <c r="D35" i="37"/>
  <c r="C31" i="36"/>
  <c r="A46" i="39"/>
  <c r="E41" i="50"/>
  <c r="D30" i="36"/>
  <c r="D31" i="34"/>
  <c r="E48" i="31"/>
  <c r="D32" i="36"/>
  <c r="E47" i="31"/>
  <c r="E44" i="36"/>
  <c r="E45" i="48"/>
  <c r="D34" i="36"/>
  <c r="E42" i="41"/>
  <c r="E44" i="33"/>
  <c r="C33" i="31"/>
  <c r="E38" i="50"/>
  <c r="A43" i="34"/>
  <c r="E31" i="37"/>
  <c r="A45" i="50"/>
  <c r="A38" i="31"/>
  <c r="A46" i="36"/>
  <c r="E34" i="31"/>
  <c r="E43" i="31"/>
  <c r="E33" i="31"/>
  <c r="D33" i="31"/>
  <c r="E48" i="41"/>
  <c r="A49" i="33"/>
  <c r="E32" i="31"/>
  <c r="D31" i="42"/>
  <c r="E45" i="31"/>
  <c r="E42" i="48"/>
  <c r="A38" i="39"/>
  <c r="A41" i="33"/>
  <c r="A47" i="37"/>
  <c r="E47" i="36"/>
  <c r="E41" i="49"/>
  <c r="A48" i="49"/>
  <c r="E45" i="39"/>
  <c r="E44" i="39"/>
  <c r="A43" i="49"/>
  <c r="C34" i="36"/>
  <c r="C35" i="37"/>
  <c r="A47" i="36"/>
  <c r="E33" i="36"/>
  <c r="E33" i="34"/>
  <c r="E31" i="31"/>
  <c r="E41" i="48"/>
  <c r="D32" i="31"/>
  <c r="A39" i="48"/>
  <c r="C34" i="42"/>
  <c r="A43" i="31"/>
  <c r="A42" i="31"/>
  <c r="A40" i="41"/>
  <c r="E30" i="34"/>
  <c r="E49" i="34"/>
  <c r="A39" i="41"/>
  <c r="A38" i="37"/>
  <c r="E38" i="36"/>
  <c r="D30" i="48"/>
  <c r="E33" i="41"/>
  <c r="D32" i="34"/>
  <c r="C33" i="48"/>
  <c r="C33" i="41"/>
  <c r="E43" i="33"/>
  <c r="A42" i="37"/>
  <c r="A38" i="48"/>
  <c r="E39" i="49"/>
  <c r="A38" i="34"/>
  <c r="E34" i="42"/>
  <c r="A43" i="36"/>
  <c r="E34" i="48"/>
  <c r="A49" i="36"/>
  <c r="E40" i="48"/>
  <c r="E34" i="34"/>
  <c r="A40" i="37"/>
  <c r="C35" i="31"/>
  <c r="D30" i="39"/>
  <c r="E32" i="36"/>
  <c r="E40" i="33"/>
  <c r="E40" i="36"/>
  <c r="D32" i="42"/>
  <c r="C32" i="48"/>
  <c r="E48" i="34"/>
  <c r="E46" i="31"/>
  <c r="E42" i="36"/>
  <c r="E38" i="41"/>
  <c r="A47" i="39"/>
  <c r="E33" i="37"/>
  <c r="E44" i="34"/>
  <c r="A44" i="37"/>
  <c r="E32" i="33"/>
  <c r="D35" i="41"/>
  <c r="A38" i="33"/>
  <c r="E35" i="41"/>
  <c r="A48" i="39"/>
  <c r="E47" i="37"/>
  <c r="A49" i="41"/>
  <c r="A41" i="34"/>
  <c r="A46" i="41"/>
  <c r="C35" i="39"/>
  <c r="D30" i="37"/>
  <c r="E32" i="37"/>
  <c r="E49" i="33"/>
  <c r="C34" i="39"/>
  <c r="E31" i="39"/>
  <c r="A45" i="39"/>
  <c r="D33" i="39"/>
  <c r="C34" i="33"/>
  <c r="E32" i="39"/>
  <c r="E48" i="48"/>
  <c r="C33" i="39"/>
  <c r="A48" i="41"/>
  <c r="E45" i="34"/>
  <c r="E40" i="50"/>
  <c r="A42" i="39"/>
  <c r="E40" i="34"/>
  <c r="A43" i="48"/>
  <c r="D32" i="48"/>
  <c r="A45" i="31"/>
  <c r="A41" i="41"/>
  <c r="A46" i="37"/>
  <c r="E33" i="39"/>
  <c r="E41" i="31"/>
  <c r="D33" i="36"/>
  <c r="E46" i="48"/>
  <c r="D34" i="33"/>
  <c r="E40" i="39"/>
  <c r="E42" i="37"/>
  <c r="E44" i="31"/>
  <c r="E47" i="41"/>
  <c r="E31" i="34"/>
  <c r="E42" i="50"/>
  <c r="E40" i="37"/>
  <c r="A44" i="36"/>
  <c r="A48" i="37"/>
  <c r="A44" i="41"/>
  <c r="A39" i="37"/>
  <c r="D34" i="42"/>
  <c r="D30" i="42"/>
  <c r="D33" i="41"/>
  <c r="A40" i="39"/>
  <c r="A48" i="34"/>
  <c r="A45" i="49"/>
  <c r="E46" i="41"/>
  <c r="A41" i="31"/>
  <c r="C33" i="37"/>
  <c r="E30" i="37"/>
  <c r="D34" i="39"/>
  <c r="A47" i="31"/>
  <c r="A45" i="41"/>
  <c r="A41" i="39"/>
  <c r="D32" i="39"/>
  <c r="E35" i="48"/>
  <c r="E40" i="31"/>
  <c r="E43" i="50"/>
  <c r="D34" i="34"/>
  <c r="E45" i="33"/>
  <c r="A39" i="34"/>
  <c r="A46" i="33"/>
  <c r="E44" i="50"/>
  <c r="A46" i="31"/>
  <c r="A44" i="49"/>
  <c r="E32" i="48"/>
  <c r="E49" i="50"/>
  <c r="A38" i="36"/>
  <c r="E45" i="50"/>
  <c r="A40" i="33"/>
  <c r="E44" i="48"/>
  <c r="E46" i="50"/>
  <c r="A41" i="49"/>
  <c r="E44" i="41"/>
  <c r="A43" i="41"/>
  <c r="E40" i="41"/>
  <c r="A42" i="50"/>
  <c r="D34" i="41"/>
  <c r="E46" i="34"/>
  <c r="A41" i="36"/>
  <c r="E47" i="33"/>
  <c r="A45" i="34"/>
  <c r="E38" i="37"/>
  <c r="A40" i="31"/>
  <c r="E40" i="49"/>
  <c r="D30" i="33"/>
  <c r="D35" i="48"/>
  <c r="A39" i="33"/>
  <c r="D33" i="48"/>
  <c r="C30" i="48"/>
  <c r="E41" i="37"/>
  <c r="C33" i="36"/>
  <c r="E47" i="34"/>
  <c r="A49" i="39"/>
  <c r="A47" i="50"/>
  <c r="A44" i="34"/>
  <c r="E38" i="48"/>
  <c r="A42" i="33"/>
  <c r="C31" i="41"/>
  <c r="E49" i="49"/>
  <c r="A39" i="36"/>
  <c r="E42" i="49"/>
  <c r="E49" i="41"/>
  <c r="E42" i="31"/>
  <c r="D34" i="37"/>
  <c r="A38" i="49"/>
  <c r="A40" i="48"/>
  <c r="D35" i="36"/>
  <c r="E48" i="33"/>
  <c r="A38" i="41"/>
  <c r="D33" i="34"/>
  <c r="E43" i="49"/>
  <c r="E43" i="37"/>
  <c r="E30" i="41"/>
  <c r="A41" i="48"/>
  <c r="D35" i="39"/>
  <c r="E41" i="34"/>
  <c r="A47" i="49"/>
  <c r="E31" i="36"/>
  <c r="E42" i="34"/>
  <c r="A47" i="41"/>
  <c r="E49" i="37"/>
  <c r="D35" i="34"/>
  <c r="A49" i="50"/>
  <c r="E43" i="39"/>
  <c r="C34" i="34"/>
  <c r="A38" i="50"/>
  <c r="E38" i="34"/>
  <c r="A43" i="50"/>
  <c r="E33" i="33"/>
  <c r="E35" i="39"/>
  <c r="E39" i="41"/>
  <c r="E39" i="39"/>
  <c r="E38" i="39"/>
  <c r="D35" i="31"/>
  <c r="E34" i="33"/>
  <c r="E44" i="49"/>
  <c r="A48" i="33"/>
  <c r="A49" i="37"/>
  <c r="D31" i="48"/>
  <c r="E32" i="41"/>
  <c r="E41" i="36"/>
  <c r="A41" i="37"/>
  <c r="C35" i="34"/>
  <c r="E41" i="41"/>
  <c r="C31" i="33"/>
  <c r="D31" i="41"/>
  <c r="E48" i="39"/>
  <c r="A47" i="33"/>
  <c r="A46" i="49"/>
  <c r="D34" i="48"/>
  <c r="A45" i="37"/>
  <c r="E46" i="39"/>
  <c r="C32" i="34"/>
  <c r="E39" i="31"/>
  <c r="E39" i="33"/>
  <c r="D35" i="33"/>
  <c r="C31" i="39"/>
  <c r="E43" i="36"/>
  <c r="E38" i="33"/>
  <c r="A41" i="50"/>
  <c r="C30" i="34"/>
  <c r="C35" i="48"/>
  <c r="D30" i="41"/>
  <c r="A47" i="34"/>
  <c r="A46" i="48"/>
  <c r="E34" i="41"/>
  <c r="E43" i="34"/>
  <c r="A45" i="48"/>
  <c r="D31" i="36"/>
  <c r="E35" i="36"/>
  <c r="D33" i="33"/>
  <c r="E42" i="33"/>
  <c r="C34" i="41"/>
  <c r="E35" i="33"/>
  <c r="C32" i="39"/>
  <c r="D31" i="37"/>
  <c r="C35" i="33"/>
  <c r="C30" i="37"/>
  <c r="C31" i="37"/>
  <c r="C34" i="37"/>
  <c r="C32" i="37"/>
  <c r="E30" i="48"/>
  <c r="E31" i="48"/>
  <c r="E35" i="31"/>
  <c r="E39" i="50"/>
  <c r="A42" i="49"/>
  <c r="C30" i="41"/>
  <c r="A40" i="34"/>
  <c r="E30" i="42"/>
  <c r="E30" i="33"/>
  <c r="E46" i="49"/>
  <c r="E39" i="34"/>
  <c r="E45" i="49"/>
  <c r="E34" i="36"/>
  <c r="E39" i="48"/>
  <c r="D30" i="34"/>
  <c r="A48" i="31"/>
  <c r="A39" i="50"/>
  <c r="E49" i="36"/>
  <c r="A44" i="31"/>
  <c r="E45" i="37"/>
  <c r="A43" i="39"/>
  <c r="C32" i="31"/>
  <c r="A39" i="49"/>
  <c r="E49" i="48"/>
  <c r="E30" i="36"/>
  <c r="E47" i="39"/>
  <c r="C32" i="33"/>
  <c r="E42" i="39"/>
  <c r="E49" i="31"/>
  <c r="D32" i="41"/>
  <c r="E48" i="49"/>
  <c r="C30" i="39"/>
  <c r="E48" i="37"/>
  <c r="A45" i="36"/>
  <c r="E35" i="37"/>
  <c r="A48" i="48"/>
  <c r="E31" i="33"/>
  <c r="E39" i="37"/>
  <c r="E38" i="31"/>
  <c r="C35" i="41"/>
  <c r="E47" i="48"/>
  <c r="D32" i="33"/>
  <c r="D32" i="37"/>
  <c r="D31" i="31"/>
  <c r="C32" i="41"/>
  <c r="E46" i="36"/>
  <c r="A40" i="50"/>
  <c r="C35" i="36"/>
  <c r="E33" i="48"/>
  <c r="E41" i="33"/>
  <c r="E44" i="37"/>
  <c r="C31" i="34"/>
  <c r="E47" i="49"/>
  <c r="E34" i="39"/>
  <c r="E39" i="36"/>
  <c r="E48" i="36"/>
  <c r="A44" i="33"/>
  <c r="A43" i="37"/>
  <c r="E45" i="36"/>
  <c r="H47" i="39" l="1"/>
  <c r="H39" i="41"/>
  <c r="H45" i="36"/>
  <c r="H47" i="48"/>
  <c r="H41" i="36"/>
  <c r="H46" i="50"/>
  <c r="H41" i="48"/>
  <c r="H44" i="48"/>
  <c r="H45" i="50"/>
  <c r="H44" i="39"/>
  <c r="H45" i="39"/>
  <c r="H49" i="48"/>
  <c r="H38" i="34"/>
  <c r="H49" i="50"/>
  <c r="H41" i="49"/>
  <c r="H47" i="36"/>
  <c r="H48" i="36"/>
  <c r="H38" i="31"/>
  <c r="H44" i="50"/>
  <c r="H38" i="33"/>
  <c r="H43" i="39"/>
  <c r="H42" i="48"/>
  <c r="H39" i="36"/>
  <c r="H39" i="37"/>
  <c r="H45" i="33"/>
  <c r="H45" i="31"/>
  <c r="H43" i="36"/>
  <c r="H43" i="50"/>
  <c r="H44" i="49"/>
  <c r="H40" i="31"/>
  <c r="H48" i="41"/>
  <c r="H49" i="37"/>
  <c r="H43" i="31"/>
  <c r="H47" i="49"/>
  <c r="H42" i="34"/>
  <c r="H39" i="33"/>
  <c r="H38" i="39"/>
  <c r="H46" i="41"/>
  <c r="H39" i="31"/>
  <c r="H38" i="50"/>
  <c r="H45" i="37"/>
  <c r="H41" i="34"/>
  <c r="H44" i="33"/>
  <c r="H42" i="41"/>
  <c r="H44" i="37"/>
  <c r="H39" i="39"/>
  <c r="H45" i="48"/>
  <c r="H42" i="33"/>
  <c r="H44" i="36"/>
  <c r="H49" i="36"/>
  <c r="H47" i="31"/>
  <c r="H41" i="33"/>
  <c r="H46" i="39"/>
  <c r="H43" i="37"/>
  <c r="H48" i="31"/>
  <c r="H40" i="37"/>
  <c r="H43" i="49"/>
  <c r="H42" i="50"/>
  <c r="H48" i="37"/>
  <c r="H41" i="50"/>
  <c r="H47" i="41"/>
  <c r="H44" i="31"/>
  <c r="H39" i="48"/>
  <c r="H42" i="37"/>
  <c r="H40" i="39"/>
  <c r="H48" i="33"/>
  <c r="H46" i="48"/>
  <c r="H45" i="49"/>
  <c r="H46" i="33"/>
  <c r="H41" i="31"/>
  <c r="H48" i="49"/>
  <c r="H47" i="34"/>
  <c r="H39" i="34"/>
  <c r="H47" i="50"/>
  <c r="H40" i="48"/>
  <c r="H46" i="37"/>
  <c r="H46" i="49"/>
  <c r="H41" i="37"/>
  <c r="H40" i="34"/>
  <c r="H46" i="36"/>
  <c r="H40" i="50"/>
  <c r="H48" i="39"/>
  <c r="H45" i="34"/>
  <c r="H48" i="50"/>
  <c r="H43" i="34"/>
  <c r="H48" i="48"/>
  <c r="H39" i="49"/>
  <c r="H42" i="31"/>
  <c r="H45" i="41"/>
  <c r="H43" i="33"/>
  <c r="H49" i="41"/>
  <c r="H49" i="33"/>
  <c r="H49" i="31"/>
  <c r="H43" i="48"/>
  <c r="H40" i="49"/>
  <c r="H42" i="49"/>
  <c r="H42" i="39"/>
  <c r="H38" i="37"/>
  <c r="H47" i="37"/>
  <c r="H47" i="33"/>
  <c r="H39" i="50"/>
  <c r="H38" i="36"/>
  <c r="H41" i="39"/>
  <c r="H49" i="49"/>
  <c r="H41" i="41"/>
  <c r="H46" i="34"/>
  <c r="H44" i="34"/>
  <c r="H49" i="39"/>
  <c r="H49" i="34"/>
  <c r="H38" i="41"/>
  <c r="H42" i="36"/>
  <c r="H46" i="31"/>
  <c r="H48" i="34"/>
  <c r="H38" i="49"/>
  <c r="H40" i="41"/>
  <c r="H40" i="36"/>
  <c r="H38" i="48"/>
  <c r="H40" i="33"/>
  <c r="H43" i="41"/>
  <c r="H44" i="41"/>
  <c r="H6" i="3"/>
  <c r="H50" i="39" l="1"/>
  <c r="AF2" i="2" s="1"/>
  <c r="AH2" i="2" s="1"/>
  <c r="H50" i="36"/>
  <c r="AF3" i="2" s="1"/>
  <c r="AH3" i="2" s="1"/>
  <c r="H50" i="34"/>
  <c r="H51" i="34" s="1"/>
  <c r="AG9" i="2" s="1"/>
  <c r="H50" i="33"/>
  <c r="H51" i="33" s="1"/>
  <c r="AG5" i="2" s="1"/>
  <c r="H50" i="37"/>
  <c r="H51" i="37" s="1"/>
  <c r="AG4" i="2" s="1"/>
  <c r="H50" i="48"/>
  <c r="AF19" i="1" s="1"/>
  <c r="AH19" i="1" s="1"/>
  <c r="H50" i="49"/>
  <c r="AF6" i="1" s="1"/>
  <c r="AH6" i="1" s="1"/>
  <c r="H50" i="50"/>
  <c r="AF8" i="1" s="1"/>
  <c r="AH8" i="1" s="1"/>
  <c r="H50" i="31"/>
  <c r="AF20" i="1" s="1"/>
  <c r="AH20" i="1" s="1"/>
  <c r="H50" i="41"/>
  <c r="H51" i="41" s="1"/>
  <c r="AG7" i="2" s="1"/>
  <c r="AF5" i="2"/>
  <c r="AH5" i="2" s="1"/>
  <c r="AF9" i="2"/>
  <c r="AH9" i="2" s="1"/>
  <c r="H7" i="3"/>
  <c r="H8" i="3"/>
  <c r="H4" i="3"/>
  <c r="H51" i="36" l="1"/>
  <c r="AG3" i="2" s="1"/>
  <c r="H51" i="39"/>
  <c r="AG2" i="2" s="1"/>
  <c r="AF4" i="2"/>
  <c r="AH4" i="2" s="1"/>
  <c r="AF7" i="2"/>
  <c r="AH7" i="2" s="1"/>
  <c r="H51" i="48"/>
  <c r="AG19" i="1" s="1"/>
  <c r="H51" i="31"/>
  <c r="AG20" i="1" s="1"/>
  <c r="H51" i="49"/>
  <c r="AG6" i="1" s="1"/>
  <c r="H51" i="50"/>
  <c r="AG8" i="1" s="1"/>
  <c r="G33" i="3"/>
  <c r="G34" i="3"/>
  <c r="G31" i="3"/>
  <c r="G32" i="3"/>
  <c r="C67" i="3"/>
  <c r="G30" i="3"/>
  <c r="G46" i="3"/>
  <c r="G49" i="3"/>
  <c r="G47" i="3"/>
  <c r="G48" i="3"/>
  <c r="C65" i="3"/>
  <c r="H20" i="3"/>
  <c r="G35" i="3"/>
  <c r="C63" i="3"/>
  <c r="C54" i="3"/>
  <c r="H29" i="3"/>
  <c r="H28" i="3"/>
  <c r="G29" i="3"/>
  <c r="G28" i="3"/>
  <c r="G27" i="3"/>
  <c r="G23" i="3"/>
  <c r="G21" i="3"/>
  <c r="G22" i="3"/>
  <c r="C68" i="3" l="1"/>
  <c r="C57" i="3"/>
  <c r="C60" i="3"/>
  <c r="H5" i="3"/>
  <c r="H9" i="3" s="1"/>
  <c r="E23" i="3"/>
  <c r="D23" i="3"/>
  <c r="D21" i="3"/>
  <c r="E21" i="3"/>
  <c r="E22" i="3"/>
  <c r="D22" i="3"/>
  <c r="H23" i="3" l="1"/>
  <c r="H22" i="3"/>
  <c r="C61" i="3"/>
  <c r="C58" i="3"/>
  <c r="H21" i="3" l="1"/>
  <c r="H24" i="3"/>
  <c r="H27" i="3"/>
  <c r="H26" i="3"/>
  <c r="H25" i="3"/>
  <c r="D33" i="3"/>
  <c r="D31" i="3"/>
  <c r="E35" i="3"/>
  <c r="C34" i="3"/>
  <c r="E30" i="3"/>
  <c r="D34" i="3"/>
  <c r="C31" i="3"/>
  <c r="E31" i="3"/>
  <c r="E33" i="3"/>
  <c r="D35" i="3"/>
  <c r="C30" i="3"/>
  <c r="C32" i="3"/>
  <c r="E32" i="3"/>
  <c r="C33" i="3"/>
  <c r="D32" i="3"/>
  <c r="D30" i="3"/>
  <c r="E34" i="3"/>
  <c r="C35" i="3"/>
  <c r="E32" i="27"/>
  <c r="E33" i="27"/>
  <c r="A39" i="26"/>
  <c r="E44" i="24"/>
  <c r="E39" i="25"/>
  <c r="D35" i="15"/>
  <c r="E42" i="26"/>
  <c r="E31" i="26"/>
  <c r="E48" i="21"/>
  <c r="C35" i="22"/>
  <c r="E40" i="22"/>
  <c r="E46" i="29"/>
  <c r="E48" i="30"/>
  <c r="A43" i="16"/>
  <c r="E43" i="25"/>
  <c r="A42" i="14"/>
  <c r="E49" i="26"/>
  <c r="E30" i="28"/>
  <c r="E44" i="17"/>
  <c r="E49" i="21"/>
  <c r="E33" i="18"/>
  <c r="D33" i="15"/>
  <c r="D30" i="21"/>
  <c r="A41" i="16"/>
  <c r="E31" i="27"/>
  <c r="C34" i="28"/>
  <c r="D30" i="26"/>
  <c r="A41" i="28"/>
  <c r="D33" i="27"/>
  <c r="A45" i="16"/>
  <c r="A40" i="14"/>
  <c r="C33" i="17"/>
  <c r="C30" i="25"/>
  <c r="D31" i="22"/>
  <c r="A49" i="28"/>
  <c r="D32" i="21"/>
  <c r="A49" i="29"/>
  <c r="E47" i="28"/>
  <c r="C34" i="27"/>
  <c r="A39" i="28"/>
  <c r="A40" i="22"/>
  <c r="E43" i="14"/>
  <c r="E42" i="15"/>
  <c r="A44" i="15"/>
  <c r="E39" i="21"/>
  <c r="E44" i="28"/>
  <c r="E48" i="16"/>
  <c r="A42" i="24"/>
  <c r="E30" i="22"/>
  <c r="E35" i="25"/>
  <c r="C31" i="21"/>
  <c r="C34" i="26"/>
  <c r="E45" i="18"/>
  <c r="A43" i="22"/>
  <c r="A49" i="18"/>
  <c r="A48" i="22"/>
  <c r="D31" i="21"/>
  <c r="A49" i="24"/>
  <c r="E40" i="27"/>
  <c r="A44" i="30"/>
  <c r="A39" i="27"/>
  <c r="D34" i="29"/>
  <c r="D32" i="29"/>
  <c r="A46" i="30"/>
  <c r="E45" i="26"/>
  <c r="C33" i="27"/>
  <c r="D31" i="16"/>
  <c r="D35" i="22"/>
  <c r="E32" i="25"/>
  <c r="E31" i="17"/>
  <c r="C32" i="14"/>
  <c r="E40" i="30"/>
  <c r="A44" i="27"/>
  <c r="E47" i="24"/>
  <c r="E47" i="22"/>
  <c r="D33" i="29"/>
  <c r="A40" i="16"/>
  <c r="E34" i="29"/>
  <c r="E34" i="25"/>
  <c r="C31" i="25"/>
  <c r="C33" i="30"/>
  <c r="A39" i="29"/>
  <c r="A40" i="30"/>
  <c r="D33" i="16"/>
  <c r="E40" i="15"/>
  <c r="C33" i="18"/>
  <c r="E48" i="29"/>
  <c r="A47" i="27"/>
  <c r="E35" i="22"/>
  <c r="E41" i="16"/>
  <c r="A42" i="29"/>
  <c r="E31" i="16"/>
  <c r="C33" i="28"/>
  <c r="A43" i="26"/>
  <c r="C30" i="29"/>
  <c r="E43" i="18"/>
  <c r="A41" i="15"/>
  <c r="E40" i="3"/>
  <c r="E41" i="3"/>
  <c r="E32" i="26"/>
  <c r="A46" i="22"/>
  <c r="E46" i="14"/>
  <c r="E31" i="30"/>
  <c r="A42" i="21"/>
  <c r="A42" i="3"/>
  <c r="A49" i="16"/>
  <c r="E35" i="17"/>
  <c r="A47" i="17"/>
  <c r="A39" i="21"/>
  <c r="E48" i="28"/>
  <c r="A38" i="21"/>
  <c r="E34" i="22"/>
  <c r="A41" i="25"/>
  <c r="E49" i="14"/>
  <c r="A49" i="25"/>
  <c r="A48" i="16"/>
  <c r="A40" i="17"/>
  <c r="A45" i="17"/>
  <c r="A44" i="17"/>
  <c r="E39" i="3"/>
  <c r="E43" i="3"/>
  <c r="E44" i="25"/>
  <c r="A48" i="28"/>
  <c r="E47" i="3"/>
  <c r="A43" i="15"/>
  <c r="E38" i="21"/>
  <c r="E49" i="18"/>
  <c r="E43" i="15"/>
  <c r="C35" i="26"/>
  <c r="E47" i="16"/>
  <c r="A39" i="25"/>
  <c r="E34" i="21"/>
  <c r="E46" i="22"/>
  <c r="E34" i="16"/>
  <c r="D32" i="28"/>
  <c r="E33" i="21"/>
  <c r="C33" i="25"/>
  <c r="C34" i="25"/>
  <c r="E33" i="25"/>
  <c r="D32" i="19"/>
  <c r="A38" i="16"/>
  <c r="A49" i="14"/>
  <c r="A46" i="18"/>
  <c r="E41" i="27"/>
  <c r="D32" i="27"/>
  <c r="E31" i="28"/>
  <c r="A45" i="28"/>
  <c r="C32" i="25"/>
  <c r="D35" i="16"/>
  <c r="E32" i="16"/>
  <c r="C33" i="15"/>
  <c r="A46" i="29"/>
  <c r="E41" i="14"/>
  <c r="E33" i="17"/>
  <c r="E49" i="25"/>
  <c r="E34" i="30"/>
  <c r="A43" i="21"/>
  <c r="C31" i="28"/>
  <c r="A41" i="30"/>
  <c r="C32" i="17"/>
  <c r="C30" i="28"/>
  <c r="E38" i="30"/>
  <c r="A40" i="15"/>
  <c r="E48" i="24"/>
  <c r="E41" i="28"/>
  <c r="E38" i="27"/>
  <c r="C30" i="18"/>
  <c r="E44" i="22"/>
  <c r="C30" i="17"/>
  <c r="A39" i="16"/>
  <c r="A46" i="25"/>
  <c r="E31" i="29"/>
  <c r="C32" i="29"/>
  <c r="A44" i="24"/>
  <c r="A43" i="25"/>
  <c r="A41" i="27"/>
  <c r="A42" i="28"/>
  <c r="C33" i="22"/>
  <c r="E44" i="18"/>
  <c r="E32" i="21"/>
  <c r="E48" i="26"/>
  <c r="A45" i="29"/>
  <c r="E32" i="30"/>
  <c r="C31" i="30"/>
  <c r="E46" i="16"/>
  <c r="E41" i="26"/>
  <c r="A48" i="29"/>
  <c r="D33" i="19"/>
  <c r="E45" i="15"/>
  <c r="E47" i="29"/>
  <c r="A47" i="25"/>
  <c r="A40" i="21"/>
  <c r="A41" i="22"/>
  <c r="E34" i="15"/>
  <c r="E35" i="30"/>
  <c r="A46" i="21"/>
  <c r="C31" i="27"/>
  <c r="E38" i="22"/>
  <c r="E40" i="14"/>
  <c r="E40" i="18"/>
  <c r="E47" i="27"/>
  <c r="A47" i="30"/>
  <c r="E43" i="17"/>
  <c r="E39" i="24"/>
  <c r="C35" i="28"/>
  <c r="A43" i="18"/>
  <c r="A39" i="18"/>
  <c r="A43" i="28"/>
  <c r="E32" i="18"/>
  <c r="A46" i="28"/>
  <c r="A45" i="24"/>
  <c r="C33" i="14"/>
  <c r="D30" i="27"/>
  <c r="D33" i="30"/>
  <c r="D30" i="14"/>
  <c r="D31" i="14"/>
  <c r="E38" i="25"/>
  <c r="C31" i="22"/>
  <c r="E44" i="29"/>
  <c r="E30" i="16"/>
  <c r="E35" i="16"/>
  <c r="E32" i="29"/>
  <c r="E46" i="24"/>
  <c r="E38" i="24"/>
  <c r="D32" i="18"/>
  <c r="A42" i="30"/>
  <c r="A47" i="3"/>
  <c r="E38" i="3"/>
  <c r="E40" i="21"/>
  <c r="A40" i="25"/>
  <c r="E33" i="22"/>
  <c r="A47" i="29"/>
  <c r="E33" i="15"/>
  <c r="E46" i="3"/>
  <c r="C31" i="29"/>
  <c r="E34" i="28"/>
  <c r="C35" i="17"/>
  <c r="E35" i="29"/>
  <c r="E42" i="25"/>
  <c r="E46" i="15"/>
  <c r="E45" i="21"/>
  <c r="A45" i="30"/>
  <c r="A42" i="22"/>
  <c r="E30" i="21"/>
  <c r="C34" i="29"/>
  <c r="E33" i="26"/>
  <c r="E40" i="24"/>
  <c r="D31" i="19"/>
  <c r="E45" i="22"/>
  <c r="D32" i="16"/>
  <c r="E39" i="26"/>
  <c r="E46" i="26"/>
  <c r="E45" i="16"/>
  <c r="E44" i="14"/>
  <c r="C33" i="29"/>
  <c r="E30" i="17"/>
  <c r="E47" i="30"/>
  <c r="A42" i="15"/>
  <c r="C32" i="16"/>
  <c r="E41" i="25"/>
  <c r="C32" i="28"/>
  <c r="E35" i="21"/>
  <c r="E39" i="30"/>
  <c r="E47" i="15"/>
  <c r="E30" i="18"/>
  <c r="A41" i="18"/>
  <c r="E40" i="26"/>
  <c r="E45" i="24"/>
  <c r="A38" i="24"/>
  <c r="D31" i="17"/>
  <c r="D31" i="28"/>
  <c r="A41" i="14"/>
  <c r="A41" i="26"/>
  <c r="A38" i="14"/>
  <c r="C30" i="22"/>
  <c r="E43" i="24"/>
  <c r="C35" i="21"/>
  <c r="E43" i="27"/>
  <c r="E41" i="22"/>
  <c r="A42" i="17"/>
  <c r="D32" i="22"/>
  <c r="E49" i="15"/>
  <c r="E42" i="29"/>
  <c r="E49" i="27"/>
  <c r="A47" i="14"/>
  <c r="A41" i="21"/>
  <c r="D34" i="14"/>
  <c r="E42" i="18"/>
  <c r="D30" i="30"/>
  <c r="D33" i="21"/>
  <c r="E41" i="15"/>
  <c r="E41" i="18"/>
  <c r="A45" i="26"/>
  <c r="E40" i="16"/>
  <c r="D32" i="30"/>
  <c r="E32" i="15"/>
  <c r="A44" i="26"/>
  <c r="A44" i="16"/>
  <c r="E39" i="15"/>
  <c r="E41" i="21"/>
  <c r="E42" i="28"/>
  <c r="E38" i="15"/>
  <c r="C34" i="14"/>
  <c r="A48" i="25"/>
  <c r="A41" i="17"/>
  <c r="E35" i="27"/>
  <c r="E42" i="17"/>
  <c r="A45" i="25"/>
  <c r="A39" i="14"/>
  <c r="E31" i="14"/>
  <c r="A43" i="17"/>
  <c r="A45" i="18"/>
  <c r="E39" i="28"/>
  <c r="E30" i="14"/>
  <c r="A43" i="27"/>
  <c r="E45" i="27"/>
  <c r="E46" i="30"/>
  <c r="A40" i="28"/>
  <c r="A44" i="29"/>
  <c r="D31" i="27"/>
  <c r="D33" i="22"/>
  <c r="A45" i="27"/>
  <c r="E31" i="22"/>
  <c r="E46" i="27"/>
  <c r="E32" i="14"/>
  <c r="A48" i="30"/>
  <c r="E30" i="15"/>
  <c r="E38" i="26"/>
  <c r="A47" i="26"/>
  <c r="A48" i="24"/>
  <c r="E49" i="17"/>
  <c r="C35" i="14"/>
  <c r="D31" i="29"/>
  <c r="E31" i="15"/>
  <c r="D33" i="17"/>
  <c r="D30" i="15"/>
  <c r="A45" i="15"/>
  <c r="A45" i="14"/>
  <c r="A40" i="3"/>
  <c r="E48" i="3"/>
  <c r="A49" i="22"/>
  <c r="D34" i="16"/>
  <c r="E39" i="18"/>
  <c r="D30" i="17"/>
  <c r="E46" i="18"/>
  <c r="A44" i="18"/>
  <c r="A49" i="15"/>
  <c r="D32" i="15"/>
  <c r="E45" i="30"/>
  <c r="C34" i="22"/>
  <c r="C32" i="15"/>
  <c r="E41" i="24"/>
  <c r="E34" i="26"/>
  <c r="A43" i="30"/>
  <c r="A46" i="16"/>
  <c r="A39" i="22"/>
  <c r="E42" i="21"/>
  <c r="A42" i="27"/>
  <c r="D35" i="21"/>
  <c r="A38" i="15"/>
  <c r="A42" i="26"/>
  <c r="A49" i="3"/>
  <c r="E47" i="25"/>
  <c r="E43" i="26"/>
  <c r="E45" i="3"/>
  <c r="E38" i="17"/>
  <c r="D34" i="15"/>
  <c r="D32" i="25"/>
  <c r="A49" i="26"/>
  <c r="D35" i="29"/>
  <c r="E43" i="16"/>
  <c r="A40" i="18"/>
  <c r="A38" i="29"/>
  <c r="A47" i="28"/>
  <c r="C33" i="19"/>
  <c r="E31" i="19"/>
  <c r="D33" i="25"/>
  <c r="E33" i="14"/>
  <c r="E44" i="15"/>
  <c r="E45" i="25"/>
  <c r="E35" i="18"/>
  <c r="E34" i="14"/>
  <c r="E32" i="28"/>
  <c r="E41" i="17"/>
  <c r="A44" i="14"/>
  <c r="D33" i="26"/>
  <c r="E42" i="14"/>
  <c r="A38" i="26"/>
  <c r="C30" i="14"/>
  <c r="E34" i="27"/>
  <c r="C31" i="16"/>
  <c r="A43" i="24"/>
  <c r="A39" i="24"/>
  <c r="E40" i="29"/>
  <c r="E43" i="28"/>
  <c r="E49" i="24"/>
  <c r="E46" i="28"/>
  <c r="A45" i="21"/>
  <c r="E35" i="28"/>
  <c r="E47" i="26"/>
  <c r="A46" i="17"/>
  <c r="E42" i="24"/>
  <c r="E39" i="27"/>
  <c r="E48" i="17"/>
  <c r="C34" i="21"/>
  <c r="E48" i="14"/>
  <c r="A46" i="27"/>
  <c r="E48" i="25"/>
  <c r="A49" i="27"/>
  <c r="E41" i="30"/>
  <c r="D35" i="25"/>
  <c r="E33" i="28"/>
  <c r="A41" i="24"/>
  <c r="E45" i="17"/>
  <c r="A38" i="30"/>
  <c r="A42" i="25"/>
  <c r="E43" i="22"/>
  <c r="E42" i="16"/>
  <c r="E35" i="14"/>
  <c r="E40" i="25"/>
  <c r="E44" i="16"/>
  <c r="E47" i="18"/>
  <c r="A49" i="17"/>
  <c r="A43" i="3"/>
  <c r="A40" i="27"/>
  <c r="C35" i="18"/>
  <c r="D35" i="27"/>
  <c r="E31" i="21"/>
  <c r="D31" i="26"/>
  <c r="A44" i="3"/>
  <c r="C32" i="18"/>
  <c r="E44" i="27"/>
  <c r="A48" i="15"/>
  <c r="A46" i="15"/>
  <c r="E38" i="14"/>
  <c r="A48" i="26"/>
  <c r="E34" i="19"/>
  <c r="A47" i="22"/>
  <c r="A44" i="28"/>
  <c r="D31" i="25"/>
  <c r="A48" i="18"/>
  <c r="E42" i="27"/>
  <c r="C30" i="15"/>
  <c r="E44" i="26"/>
  <c r="A44" i="22"/>
  <c r="C34" i="15"/>
  <c r="C33" i="16"/>
  <c r="C35" i="16"/>
  <c r="D30" i="29"/>
  <c r="A47" i="21"/>
  <c r="A48" i="17"/>
  <c r="E35" i="19"/>
  <c r="E30" i="25"/>
  <c r="E39" i="22"/>
  <c r="A46" i="3"/>
  <c r="C31" i="15"/>
  <c r="A43" i="29"/>
  <c r="A49" i="30"/>
  <c r="E34" i="18"/>
  <c r="A47" i="24"/>
  <c r="D31" i="30"/>
  <c r="E44" i="3"/>
  <c r="E49" i="30"/>
  <c r="A39" i="3"/>
  <c r="C32" i="21"/>
  <c r="E30" i="30"/>
  <c r="A48" i="3"/>
  <c r="C31" i="18"/>
  <c r="D35" i="19"/>
  <c r="E43" i="21"/>
  <c r="E32" i="19"/>
  <c r="A38" i="18"/>
  <c r="E43" i="29"/>
  <c r="A48" i="27"/>
  <c r="D32" i="26"/>
  <c r="E48" i="18"/>
  <c r="E44" i="30"/>
  <c r="C34" i="18"/>
  <c r="A44" i="21"/>
  <c r="E31" i="25"/>
  <c r="E45" i="14"/>
  <c r="E38" i="29"/>
  <c r="D35" i="28"/>
  <c r="A46" i="24"/>
  <c r="C33" i="26"/>
  <c r="A44" i="25"/>
  <c r="D32" i="14"/>
  <c r="D33" i="18"/>
  <c r="E39" i="17"/>
  <c r="A40" i="24"/>
  <c r="E33" i="19"/>
  <c r="D31" i="18"/>
  <c r="A39" i="15"/>
  <c r="E42" i="22"/>
  <c r="C35" i="29"/>
  <c r="E43" i="30"/>
  <c r="E40" i="17"/>
  <c r="A47" i="16"/>
  <c r="E39" i="16"/>
  <c r="E47" i="14"/>
  <c r="D35" i="30"/>
  <c r="E33" i="30"/>
  <c r="C35" i="27"/>
  <c r="D30" i="28"/>
  <c r="E46" i="17"/>
  <c r="D33" i="14"/>
  <c r="E35" i="15"/>
  <c r="E49" i="28"/>
  <c r="E47" i="17"/>
  <c r="D35" i="14"/>
  <c r="E49" i="16"/>
  <c r="A40" i="26"/>
  <c r="A38" i="25"/>
  <c r="C35" i="30"/>
  <c r="C32" i="19"/>
  <c r="D30" i="25"/>
  <c r="C30" i="27"/>
  <c r="C35" i="15"/>
  <c r="E46" i="21"/>
  <c r="A48" i="14"/>
  <c r="D35" i="18"/>
  <c r="E45" i="28"/>
  <c r="A42" i="16"/>
  <c r="E41" i="29"/>
  <c r="A47" i="18"/>
  <c r="C32" i="27"/>
  <c r="A42" i="18"/>
  <c r="C31" i="14"/>
  <c r="E30" i="19"/>
  <c r="E44" i="21"/>
  <c r="C31" i="17"/>
  <c r="E33" i="16"/>
  <c r="E42" i="3"/>
  <c r="E38" i="18"/>
  <c r="C30" i="21"/>
  <c r="E42" i="30"/>
  <c r="A38" i="17"/>
  <c r="E48" i="15"/>
  <c r="E45" i="29"/>
  <c r="A38" i="3"/>
  <c r="C30" i="26"/>
  <c r="E39" i="29"/>
  <c r="E38" i="28"/>
  <c r="E32" i="22"/>
  <c r="C35" i="25"/>
  <c r="A45" i="22"/>
  <c r="A41" i="29"/>
  <c r="D30" i="22"/>
  <c r="A38" i="28"/>
  <c r="A40" i="29"/>
  <c r="C31" i="26"/>
  <c r="A46" i="26"/>
  <c r="D32" i="17"/>
  <c r="E48" i="22"/>
  <c r="E30" i="27"/>
  <c r="E49" i="22"/>
  <c r="E49" i="29"/>
  <c r="A41" i="3"/>
  <c r="E48" i="27"/>
  <c r="C33" i="21"/>
  <c r="A39" i="17"/>
  <c r="A45" i="3"/>
  <c r="E39" i="14"/>
  <c r="A46" i="14"/>
  <c r="A48" i="21"/>
  <c r="E34" i="17"/>
  <c r="E33" i="29"/>
  <c r="A49" i="21"/>
  <c r="C32" i="22"/>
  <c r="A38" i="27"/>
  <c r="A47" i="15"/>
  <c r="C32" i="30"/>
  <c r="E38" i="16"/>
  <c r="D33" i="28"/>
  <c r="E47" i="21"/>
  <c r="E46" i="25"/>
  <c r="E32" i="17"/>
  <c r="E49" i="3"/>
  <c r="A43" i="14"/>
  <c r="E40" i="28"/>
  <c r="C32" i="26"/>
  <c r="E31" i="18"/>
  <c r="D35" i="17"/>
  <c r="A39" i="30"/>
  <c r="E30" i="26"/>
  <c r="A38" i="22"/>
  <c r="H39" i="27" l="1"/>
  <c r="H49" i="24"/>
  <c r="H40" i="29"/>
  <c r="H47" i="14"/>
  <c r="H43" i="26"/>
  <c r="H48" i="14"/>
  <c r="H45" i="29"/>
  <c r="H43" i="18"/>
  <c r="H43" i="30"/>
  <c r="H44" i="25"/>
  <c r="H49" i="30"/>
  <c r="H38" i="24"/>
  <c r="H49" i="28"/>
  <c r="H47" i="25"/>
  <c r="H40" i="17"/>
  <c r="H49" i="29"/>
  <c r="H47" i="26"/>
  <c r="H42" i="24"/>
  <c r="H46" i="24"/>
  <c r="H39" i="16"/>
  <c r="H46" i="18"/>
  <c r="H42" i="16"/>
  <c r="H43" i="15"/>
  <c r="H48" i="15"/>
  <c r="H39" i="22"/>
  <c r="H49" i="22"/>
  <c r="H43" i="22"/>
  <c r="H42" i="21"/>
  <c r="H47" i="18"/>
  <c r="H44" i="30"/>
  <c r="H38" i="18"/>
  <c r="H48" i="22"/>
  <c r="H48" i="18"/>
  <c r="H49" i="14"/>
  <c r="H49" i="18"/>
  <c r="H40" i="28"/>
  <c r="H46" i="17"/>
  <c r="H38" i="16"/>
  <c r="H45" i="24"/>
  <c r="H46" i="14"/>
  <c r="H45" i="17"/>
  <c r="H44" i="29"/>
  <c r="H49" i="25"/>
  <c r="H41" i="16"/>
  <c r="H38" i="29"/>
  <c r="H40" i="26"/>
  <c r="H38" i="28"/>
  <c r="H45" i="21"/>
  <c r="H49" i="17"/>
  <c r="H38" i="21"/>
  <c r="H41" i="14"/>
  <c r="H44" i="16"/>
  <c r="H39" i="18"/>
  <c r="H46" i="30"/>
  <c r="H40" i="16"/>
  <c r="H43" i="29"/>
  <c r="H39" i="24"/>
  <c r="H48" i="26"/>
  <c r="H46" i="15"/>
  <c r="H47" i="22"/>
  <c r="H47" i="15"/>
  <c r="H45" i="27"/>
  <c r="H43" i="17"/>
  <c r="H47" i="24"/>
  <c r="H39" i="30"/>
  <c r="H38" i="25"/>
  <c r="H41" i="18"/>
  <c r="H44" i="18"/>
  <c r="H42" i="30"/>
  <c r="H49" i="21"/>
  <c r="H47" i="27"/>
  <c r="H41" i="15"/>
  <c r="H41" i="24"/>
  <c r="H40" i="30"/>
  <c r="H39" i="28"/>
  <c r="H40" i="18"/>
  <c r="H42" i="25"/>
  <c r="H44" i="17"/>
  <c r="H43" i="28"/>
  <c r="H41" i="25"/>
  <c r="H48" i="28"/>
  <c r="H40" i="14"/>
  <c r="H48" i="16"/>
  <c r="H38" i="14"/>
  <c r="H42" i="18"/>
  <c r="H38" i="22"/>
  <c r="H48" i="29"/>
  <c r="H44" i="28"/>
  <c r="H42" i="27"/>
  <c r="H42" i="14"/>
  <c r="H49" i="26"/>
  <c r="H44" i="21"/>
  <c r="H39" i="21"/>
  <c r="H48" i="17"/>
  <c r="H38" i="26"/>
  <c r="H47" i="30"/>
  <c r="H48" i="27"/>
  <c r="H39" i="17"/>
  <c r="H41" i="27"/>
  <c r="H43" i="25"/>
  <c r="H42" i="15"/>
  <c r="H46" i="21"/>
  <c r="H41" i="30"/>
  <c r="H49" i="27"/>
  <c r="H43" i="14"/>
  <c r="H46" i="28"/>
  <c r="H42" i="17"/>
  <c r="H42" i="29"/>
  <c r="H48" i="30"/>
  <c r="H45" i="26"/>
  <c r="H44" i="14"/>
  <c r="H45" i="25"/>
  <c r="H49" i="15"/>
  <c r="H46" i="29"/>
  <c r="H45" i="16"/>
  <c r="H43" i="21"/>
  <c r="H40" i="22"/>
  <c r="H49" i="16"/>
  <c r="H45" i="14"/>
  <c r="H41" i="29"/>
  <c r="H44" i="22"/>
  <c r="H46" i="26"/>
  <c r="H40" i="15"/>
  <c r="H39" i="26"/>
  <c r="H46" i="25"/>
  <c r="H47" i="28"/>
  <c r="H48" i="21"/>
  <c r="H40" i="21"/>
  <c r="H47" i="29"/>
  <c r="H41" i="22"/>
  <c r="H38" i="27"/>
  <c r="H45" i="30"/>
  <c r="H38" i="15"/>
  <c r="H44" i="15"/>
  <c r="H40" i="25"/>
  <c r="H45" i="15"/>
  <c r="H43" i="27"/>
  <c r="H41" i="28"/>
  <c r="H45" i="22"/>
  <c r="H42" i="28"/>
  <c r="H38" i="17"/>
  <c r="H42" i="26"/>
  <c r="H48" i="25"/>
  <c r="H40" i="27"/>
  <c r="H48" i="24"/>
  <c r="H41" i="21"/>
  <c r="H43" i="24"/>
  <c r="H44" i="27"/>
  <c r="H42" i="22"/>
  <c r="H39" i="15"/>
  <c r="H40" i="24"/>
  <c r="H41" i="26"/>
  <c r="H39" i="25"/>
  <c r="H41" i="17"/>
  <c r="H38" i="30"/>
  <c r="H43" i="16"/>
  <c r="H47" i="21"/>
  <c r="H46" i="22"/>
  <c r="H46" i="16"/>
  <c r="H44" i="24"/>
  <c r="H39" i="14"/>
  <c r="H47" i="17"/>
  <c r="H45" i="28"/>
  <c r="H39" i="29"/>
  <c r="H44" i="26"/>
  <c r="H47" i="16"/>
  <c r="H45" i="18"/>
  <c r="H46" i="27"/>
  <c r="H44" i="3"/>
  <c r="H38" i="3"/>
  <c r="H48" i="3"/>
  <c r="H41" i="3"/>
  <c r="H43" i="3"/>
  <c r="H45" i="3"/>
  <c r="H47" i="3"/>
  <c r="H49" i="3"/>
  <c r="H40" i="3"/>
  <c r="H42" i="3"/>
  <c r="H39" i="3"/>
  <c r="H46" i="3"/>
  <c r="H50" i="30" l="1"/>
  <c r="H51" i="30" s="1"/>
  <c r="AG9" i="1" s="1"/>
  <c r="H50" i="17"/>
  <c r="AF16" i="1" s="1"/>
  <c r="AH16" i="1" s="1"/>
  <c r="H50" i="28"/>
  <c r="H51" i="28" s="1"/>
  <c r="AG13" i="1" s="1"/>
  <c r="H50" i="27"/>
  <c r="AF14" i="1" s="1"/>
  <c r="AH14" i="1" s="1"/>
  <c r="H50" i="21"/>
  <c r="AF6" i="2" s="1"/>
  <c r="AH6" i="2" s="1"/>
  <c r="H50" i="26"/>
  <c r="AF18" i="1" s="1"/>
  <c r="AH18" i="1" s="1"/>
  <c r="H50" i="22"/>
  <c r="AF12" i="1" s="1"/>
  <c r="AH12" i="1" s="1"/>
  <c r="H50" i="14"/>
  <c r="H51" i="14" s="1"/>
  <c r="AG10" i="1" s="1"/>
  <c r="H50" i="25"/>
  <c r="H51" i="25" s="1"/>
  <c r="AG15" i="1" s="1"/>
  <c r="H50" i="18"/>
  <c r="H51" i="18" s="1"/>
  <c r="AG7" i="1" s="1"/>
  <c r="H50" i="29"/>
  <c r="H51" i="29" s="1"/>
  <c r="AG17" i="1" s="1"/>
  <c r="H50" i="16"/>
  <c r="AF3" i="1" s="1"/>
  <c r="AH3" i="1" s="1"/>
  <c r="H50" i="24"/>
  <c r="H51" i="24" s="1"/>
  <c r="AG4" i="1" s="1"/>
  <c r="H50" i="15"/>
  <c r="AF2" i="1" s="1"/>
  <c r="AH2" i="1" s="1"/>
  <c r="AF9" i="1"/>
  <c r="AH9" i="1" s="1"/>
  <c r="H51" i="21"/>
  <c r="AG6" i="2" s="1"/>
  <c r="AF13" i="1"/>
  <c r="AH13" i="1" s="1"/>
  <c r="H50" i="3"/>
  <c r="AF17" i="1" l="1"/>
  <c r="AH17" i="1" s="1"/>
  <c r="H51" i="17"/>
  <c r="AG16" i="1" s="1"/>
  <c r="H51" i="27"/>
  <c r="AG14" i="1" s="1"/>
  <c r="AF10" i="1"/>
  <c r="AH10" i="1" s="1"/>
  <c r="H51" i="16"/>
  <c r="AG3" i="1" s="1"/>
  <c r="AF4" i="1"/>
  <c r="AH4" i="1" s="1"/>
  <c r="H51" i="15"/>
  <c r="AG2" i="1" s="1"/>
  <c r="AF7" i="1"/>
  <c r="AH7" i="1" s="1"/>
  <c r="H51" i="26"/>
  <c r="AG18" i="1" s="1"/>
  <c r="AF15" i="1"/>
  <c r="AH15" i="1" s="1"/>
  <c r="H51" i="22"/>
  <c r="AG12" i="1" s="1"/>
  <c r="H5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Korbinian Hauck</author>
  </authors>
  <commentList>
    <comment ref="C1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Jahrgang</t>
        </r>
      </text>
    </comment>
    <comment ref="D1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Altersklasse im Jahr der Kaderzugehörigkeit</t>
        </r>
      </text>
    </comment>
    <comment ref="F1" authorId="0" shapeId="0" xr:uid="{00000000-0006-0000-0100-000004000000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Fußdehnung</t>
        </r>
      </text>
    </comment>
    <comment ref="G1" authorId="0" shapeId="0" xr:uid="{00000000-0006-0000-0100-000006000000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Briefmarke</t>
        </r>
      </text>
    </comment>
    <comment ref="H1" authorId="0" shapeId="0" xr:uid="{00000000-0006-0000-0100-000007000000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Bückbeweglichkeit</t>
        </r>
      </text>
    </comment>
    <comment ref="I1" authorId="0" shapeId="0" xr:uid="{00000000-0006-0000-0100-000008000000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Querspagat links</t>
        </r>
      </text>
    </comment>
    <comment ref="J1" authorId="0" shapeId="0" xr:uid="{00000000-0006-0000-0100-000009000000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Querspagat rechts</t>
        </r>
      </text>
    </comment>
    <comment ref="L1" authorId="0" shapeId="0" xr:uid="{00000000-0006-0000-0100-00000B000000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Klimmzug</t>
        </r>
      </text>
    </comment>
    <comment ref="M1" authorId="0" shapeId="0" xr:uid="{00000000-0006-0000-0100-00000C000000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Beinheben</t>
        </r>
      </text>
    </comment>
    <comment ref="N1" authorId="0" shapeId="0" xr:uid="{00000000-0006-0000-0100-00000D000000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Flieger</t>
        </r>
      </text>
    </comment>
    <comment ref="O1" authorId="0" shapeId="0" xr:uid="{00000000-0006-0000-0100-00000E000000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Rollenverbindung</t>
        </r>
      </text>
    </comment>
    <comment ref="P1" authorId="0" shapeId="0" xr:uid="{00000000-0006-0000-0100-00000F000000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Prellsprünge</t>
        </r>
      </text>
    </comment>
    <comment ref="Q1" authorId="0" shapeId="0" xr:uid="{00000000-0006-0000-0100-000010000000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Handstand</t>
        </r>
      </text>
    </comment>
    <comment ref="R1" authorId="0" shapeId="0" xr:uid="{00000000-0006-0000-0100-000011000000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30m-Sprint</t>
        </r>
      </text>
    </comment>
    <comment ref="T1" authorId="0" shapeId="0" xr:uid="{00000000-0006-0000-0100-000015000000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Standsprunghöhe</t>
        </r>
      </text>
    </comment>
    <comment ref="U1" authorId="0" shapeId="0" xr:uid="{FE8F3B5D-9633-4A9F-8D2E-65757030AC09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Trampolinbewegungsnorm 1</t>
        </r>
      </text>
    </comment>
    <comment ref="V1" authorId="0" shapeId="0" xr:uid="{F7D8360C-7B7E-43B1-A5EC-93866DFCEEA1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Trampolinbewegungsnorm 2</t>
        </r>
      </text>
    </comment>
    <comment ref="W1" authorId="0" shapeId="0" xr:uid="{02882867-7064-40CB-A53E-BE633E9891F2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Trampolinbewegungsnorm 3</t>
        </r>
      </text>
    </comment>
    <comment ref="X1" authorId="0" shapeId="0" xr:uid="{5FF093A1-3727-4483-B53E-AEEF92E22BCF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Technische Norm 1</t>
        </r>
      </text>
    </comment>
    <comment ref="Y1" authorId="0" shapeId="0" xr:uid="{A0AD1BDF-4B27-4B1C-956A-F48E5342FB50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Technische Norm 2</t>
        </r>
      </text>
    </comment>
    <comment ref="Z1" authorId="0" shapeId="0" xr:uid="{F8D13152-FC9E-4890-A839-2BE6F35381C6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Technische Norm 3</t>
        </r>
      </text>
    </comment>
    <comment ref="AA1" authorId="0" shapeId="0" xr:uid="{87A97537-1C95-41AC-B004-B2F5127520C1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Technische Norm 4</t>
        </r>
      </text>
    </comment>
    <comment ref="AB1" authorId="0" shapeId="0" xr:uid="{DC1018B6-22A8-4292-AA8D-9CF32AF74A6B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Technische Norm 5</t>
        </r>
      </text>
    </comment>
    <comment ref="AC1" authorId="0" shapeId="0" xr:uid="{6B246029-0F07-414B-96DE-089D40515E24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Technische Norm 6</t>
        </r>
      </text>
    </comment>
    <comment ref="AD1" authorId="0" shapeId="0" xr:uid="{93929256-A8A5-4A7F-9ED0-1BFA7BFA4A63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Technikverbindung</t>
        </r>
      </text>
    </comment>
    <comment ref="AF1" authorId="0" shapeId="0" xr:uid="{072A914D-0BAD-49E7-BD4F-3F257301DEC9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Bodenkomplexübung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Korbinian Hauck</author>
  </authors>
  <commentList>
    <comment ref="C1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Jahrgang</t>
        </r>
      </text>
    </comment>
    <comment ref="D1" authorId="0" shapeId="0" xr:uid="{3A84767C-4547-4B2C-9657-A782E08D502F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Altersklasse im Jahr der Kaderzugehörigkeit</t>
        </r>
      </text>
    </comment>
    <comment ref="F1" authorId="0" shapeId="0" xr:uid="{00000000-0006-0000-0200-000004000000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Fußdehnung</t>
        </r>
      </text>
    </comment>
    <comment ref="G1" authorId="0" shapeId="0" xr:uid="{00000000-0006-0000-0200-000006000000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Briefmarke</t>
        </r>
      </text>
    </comment>
    <comment ref="H1" authorId="0" shapeId="0" xr:uid="{00000000-0006-0000-0200-000007000000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Bückbeweglichkeit</t>
        </r>
      </text>
    </comment>
    <comment ref="I1" authorId="0" shapeId="0" xr:uid="{00000000-0006-0000-0200-000008000000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Querspagat links</t>
        </r>
      </text>
    </comment>
    <comment ref="J1" authorId="0" shapeId="0" xr:uid="{00000000-0006-0000-0200-000009000000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Querspagat rechts</t>
        </r>
      </text>
    </comment>
    <comment ref="L1" authorId="0" shapeId="0" xr:uid="{7346B05C-A16F-49D3-8B96-0F689F72C80F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Klimmzug</t>
        </r>
      </text>
    </comment>
    <comment ref="M1" authorId="0" shapeId="0" xr:uid="{63C502D2-642C-40B6-9B0E-0E2149B9CA2C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Beinheben</t>
        </r>
      </text>
    </comment>
    <comment ref="N1" authorId="0" shapeId="0" xr:uid="{71644490-E52C-4D62-AE59-D7F293A102C6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Flieger</t>
        </r>
      </text>
    </comment>
    <comment ref="O1" authorId="0" shapeId="0" xr:uid="{08E126FC-F713-42DB-A1AC-6B0BB8FE0BBF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Rollenverbindung</t>
        </r>
      </text>
    </comment>
    <comment ref="P1" authorId="0" shapeId="0" xr:uid="{3637BE0B-8AAB-42EA-817E-D75DFF4BCBD3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Prellsprünge</t>
        </r>
      </text>
    </comment>
    <comment ref="Q1" authorId="0" shapeId="0" xr:uid="{80B8D6F0-AFDF-4CA2-99D7-480E251D7EEF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Handstand</t>
        </r>
      </text>
    </comment>
    <comment ref="R1" authorId="0" shapeId="0" xr:uid="{6DA9B5B3-B5D3-40B7-977C-0EC9B5CB6F5C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30m-Sprint</t>
        </r>
      </text>
    </comment>
    <comment ref="T1" authorId="0" shapeId="0" xr:uid="{715D1F70-6336-45B3-A6C4-B20EBA6CB0D2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Standsprunghöhe</t>
        </r>
      </text>
    </comment>
    <comment ref="U1" authorId="0" shapeId="0" xr:uid="{E80EC0B0-D050-4036-BB80-797613FAD99E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Trampolinbewegungsnorm 1</t>
        </r>
      </text>
    </comment>
    <comment ref="V1" authorId="0" shapeId="0" xr:uid="{627603CB-06A3-44DD-8461-A06046B10BB6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Trampolinbewegungsnorm 2</t>
        </r>
      </text>
    </comment>
    <comment ref="W1" authorId="0" shapeId="0" xr:uid="{A54D7C57-5271-4DDA-9C85-FDD815F10C44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Trampolinbewegungsnorm 3</t>
        </r>
      </text>
    </comment>
    <comment ref="X1" authorId="0" shapeId="0" xr:uid="{1DCEED3D-D132-4187-BD3F-CA6B3D9C0F30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Technische Norm 1</t>
        </r>
      </text>
    </comment>
    <comment ref="Y1" authorId="0" shapeId="0" xr:uid="{282CBF47-2D72-4F1A-A6C6-2B5159B153DC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Technische Norm 2</t>
        </r>
      </text>
    </comment>
    <comment ref="Z1" authorId="0" shapeId="0" xr:uid="{204B177D-9B37-47A2-9797-996E8E5B4A5E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Technische Norm 3</t>
        </r>
      </text>
    </comment>
    <comment ref="AA1" authorId="0" shapeId="0" xr:uid="{30F03837-325B-48AE-82F8-7EDE6D9772D7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Technische Norm 4</t>
        </r>
      </text>
    </comment>
    <comment ref="AB1" authorId="0" shapeId="0" xr:uid="{544D44BE-E319-41E5-81F4-C4F54AC4F1FC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Technische Norm 5</t>
        </r>
      </text>
    </comment>
    <comment ref="AC1" authorId="0" shapeId="0" xr:uid="{73AA2A22-69D0-41A0-B5A5-AB87867D3C4F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Technische Norm 6</t>
        </r>
      </text>
    </comment>
    <comment ref="AD1" authorId="0" shapeId="0" xr:uid="{023C16B5-1718-4E76-8E88-A593AED73324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Technikverbindung</t>
        </r>
      </text>
    </comment>
    <comment ref="AF1" authorId="0" shapeId="0" xr:uid="{92F3FD56-ACF3-40A9-879E-B1464EE279D7}">
      <text>
        <r>
          <rPr>
            <b/>
            <sz val="9"/>
            <color indexed="81"/>
            <rFont val="Segoe UI"/>
            <family val="2"/>
          </rPr>
          <t>Korbinian Hauck:</t>
        </r>
        <r>
          <rPr>
            <sz val="9"/>
            <color indexed="81"/>
            <rFont val="Segoe UI"/>
            <family val="2"/>
          </rPr>
          <t xml:space="preserve">
Bodenkomplexübung</t>
        </r>
      </text>
    </comment>
  </commentList>
</comments>
</file>

<file path=xl/sharedStrings.xml><?xml version="1.0" encoding="utf-8"?>
<sst xmlns="http://schemas.openxmlformats.org/spreadsheetml/2006/main" count="3286" uniqueCount="427">
  <si>
    <t>Rang</t>
  </si>
  <si>
    <t>Name</t>
  </si>
  <si>
    <t>Jg</t>
  </si>
  <si>
    <t>AK</t>
  </si>
  <si>
    <t>Verein</t>
  </si>
  <si>
    <t>FD</t>
  </si>
  <si>
    <t>BM</t>
  </si>
  <si>
    <t>BBW</t>
  </si>
  <si>
    <t>QSL</t>
  </si>
  <si>
    <t>QSR</t>
  </si>
  <si>
    <t>Punktzahl Beweglichkeit</t>
  </si>
  <si>
    <t>KLZ</t>
  </si>
  <si>
    <t>BEH</t>
  </si>
  <si>
    <t>RV</t>
  </si>
  <si>
    <t>HAST</t>
  </si>
  <si>
    <t>SSH</t>
  </si>
  <si>
    <t>Punktzahl
Kraft/Kondition</t>
  </si>
  <si>
    <t>TV</t>
  </si>
  <si>
    <t>TBN 1</t>
  </si>
  <si>
    <t>TBN 2</t>
  </si>
  <si>
    <t>TBN 3</t>
  </si>
  <si>
    <t>Punktzahl
Trampolin</t>
  </si>
  <si>
    <t>Gesamtpunkte</t>
  </si>
  <si>
    <t>NAME</t>
  </si>
  <si>
    <t>Jahrgang</t>
  </si>
  <si>
    <t>VEREIN</t>
  </si>
  <si>
    <t>Übung</t>
  </si>
  <si>
    <t>Wert</t>
  </si>
  <si>
    <t>Berechnung</t>
  </si>
  <si>
    <t>Punkte</t>
  </si>
  <si>
    <t>Fußdehnung</t>
  </si>
  <si>
    <t>Tabelle</t>
  </si>
  <si>
    <t>Bild</t>
  </si>
  <si>
    <t>Bückbeweglichkeit</t>
  </si>
  <si>
    <t>Querspagat links</t>
  </si>
  <si>
    <t>Querspagat rechts</t>
  </si>
  <si>
    <t>Gesamtpunktzahl Beweglichkeit</t>
  </si>
  <si>
    <t>Klimmzug</t>
  </si>
  <si>
    <t>Beinheben</t>
  </si>
  <si>
    <t>Rollenverbindung</t>
  </si>
  <si>
    <t>Gesamtpunktzahl Kraft/Kondition</t>
  </si>
  <si>
    <t>Gesamtpunktzahl Trampolin</t>
  </si>
  <si>
    <t>Gesamtpunktzahl</t>
  </si>
  <si>
    <t>50°</t>
  </si>
  <si>
    <t>50&lt;</t>
  </si>
  <si>
    <t>51°</t>
  </si>
  <si>
    <t>51&lt;</t>
  </si>
  <si>
    <t>51/</t>
  </si>
  <si>
    <t>53/</t>
  </si>
  <si>
    <t>40/</t>
  </si>
  <si>
    <t>41/</t>
  </si>
  <si>
    <t>42/</t>
  </si>
  <si>
    <t>43/</t>
  </si>
  <si>
    <t>44/</t>
  </si>
  <si>
    <t>800°</t>
  </si>
  <si>
    <t>800&lt;</t>
  </si>
  <si>
    <t>800/</t>
  </si>
  <si>
    <t>801°</t>
  </si>
  <si>
    <t>801&lt;</t>
  </si>
  <si>
    <t>811°</t>
  </si>
  <si>
    <t>811&lt;</t>
  </si>
  <si>
    <t>803°</t>
  </si>
  <si>
    <t>803&lt;</t>
  </si>
  <si>
    <t>821°</t>
  </si>
  <si>
    <t>821&lt;</t>
  </si>
  <si>
    <t>813°</t>
  </si>
  <si>
    <t>813&lt;</t>
  </si>
  <si>
    <t>822°</t>
  </si>
  <si>
    <t>822/</t>
  </si>
  <si>
    <t>805°</t>
  </si>
  <si>
    <t>805&lt;</t>
  </si>
  <si>
    <t>824°</t>
  </si>
  <si>
    <t>824/</t>
  </si>
  <si>
    <t>12001°</t>
  </si>
  <si>
    <t>12001&lt;</t>
  </si>
  <si>
    <t>12101°</t>
  </si>
  <si>
    <t>Rolle vorwärts</t>
  </si>
  <si>
    <t>Rolle rückwärts</t>
  </si>
  <si>
    <t>Kerze ohne Arme</t>
  </si>
  <si>
    <t>cm vom Boden</t>
  </si>
  <si>
    <t>Querspagat</t>
  </si>
  <si>
    <t>cm am Kasten</t>
  </si>
  <si>
    <r>
      <rPr>
        <b/>
        <sz val="11"/>
        <color theme="1"/>
        <rFont val="Calibri"/>
        <family val="2"/>
        <scheme val="minor"/>
      </rPr>
      <t>Löschen von Teilnehmern</t>
    </r>
    <r>
      <rPr>
        <sz val="11"/>
        <color theme="1"/>
        <rFont val="Calibri"/>
        <family val="2"/>
        <scheme val="minor"/>
      </rPr>
      <t xml:space="preserve">
- Zeile in Auswertungsblatt markieren, Rechtsklick, " Zellen löschen"
- Aktivenblatt löschen</t>
    </r>
  </si>
  <si>
    <r>
      <rPr>
        <b/>
        <sz val="11"/>
        <color theme="1"/>
        <rFont val="Calibri"/>
        <family val="2"/>
        <scheme val="minor"/>
      </rPr>
      <t>Passwort zum Bearbeiten von Zellen</t>
    </r>
    <r>
      <rPr>
        <sz val="11"/>
        <color theme="1"/>
        <rFont val="Calibri"/>
        <family val="2"/>
        <scheme val="minor"/>
      </rPr>
      <t xml:space="preserve">
Kadertest</t>
    </r>
  </si>
  <si>
    <r>
      <rPr>
        <b/>
        <sz val="11"/>
        <color theme="1"/>
        <rFont val="Calibri"/>
        <family val="2"/>
        <scheme val="minor"/>
      </rPr>
      <t>Makros in Excel zulassen</t>
    </r>
    <r>
      <rPr>
        <sz val="11"/>
        <color theme="1"/>
        <rFont val="Calibri"/>
        <family val="2"/>
        <scheme val="minor"/>
      </rPr>
      <t xml:space="preserve">
Datei --&gt; Optionen --&gt; Trust Center --&gt; Einstellungen für das Trust Center --&gt; Makroeinstellungen --&gt; Alle Makros aktivieren</t>
    </r>
  </si>
  <si>
    <t>Briefmarke mit Armrumpfwinkel</t>
  </si>
  <si>
    <t>&lt;5 cm</t>
  </si>
  <si>
    <t>&lt;10 cm</t>
  </si>
  <si>
    <t>Flieger</t>
  </si>
  <si>
    <t>Prellsprünge</t>
  </si>
  <si>
    <t>Handstandstehen</t>
  </si>
  <si>
    <t>AK 10 - 11</t>
  </si>
  <si>
    <t>AK 12 - 13</t>
  </si>
  <si>
    <t>Bleep-Test</t>
  </si>
  <si>
    <t>AK 14 - 16</t>
  </si>
  <si>
    <t>Shuttle</t>
  </si>
  <si>
    <t>männlich</t>
  </si>
  <si>
    <t>weiblich</t>
  </si>
  <si>
    <t>Gesamtpunktzahl Bodenkomplexübung</t>
  </si>
  <si>
    <t>Element</t>
  </si>
  <si>
    <t>Beschreibung</t>
  </si>
  <si>
    <t>Bückstand zum Liegestütz</t>
  </si>
  <si>
    <t>Stützschraube links, rechts</t>
  </si>
  <si>
    <t>Grätschwinkelstand</t>
  </si>
  <si>
    <t>Kopfstand</t>
  </si>
  <si>
    <t>Schiffchenposition</t>
  </si>
  <si>
    <t>Drehung links, rechts</t>
  </si>
  <si>
    <t>Abbücken, Strecken über Kerze</t>
  </si>
  <si>
    <t>Vorspreizen, Rad</t>
  </si>
  <si>
    <t>Flugrolle mit Anlauf</t>
  </si>
  <si>
    <t>Grätschwinkelsprung</t>
  </si>
  <si>
    <t>Absprung gehockt zum Handstand</t>
  </si>
  <si>
    <t>1/2 Drehung, abrollen in den Stand</t>
  </si>
  <si>
    <t>Vorspreizen, Handstandhüpfer, Abrollen Hockstand</t>
  </si>
  <si>
    <t>Rolle --&gt; Stand, Strecksprung 1/2 Drehung</t>
  </si>
  <si>
    <t>Vorspreizen, Standwaage</t>
  </si>
  <si>
    <t>Vorspreizen, Standwaage andere Seite</t>
  </si>
  <si>
    <t>Rolle rückwärts durch Handstand</t>
  </si>
  <si>
    <t>Vorspreizen, Rad, andere Richtung</t>
  </si>
  <si>
    <t>Salto vorwärts mit Anlauf</t>
  </si>
  <si>
    <t>Handstand, 1/1 Drehung, Abrollen</t>
  </si>
  <si>
    <t>Strecksprung 1/2 Drehung</t>
  </si>
  <si>
    <t>Vorspreizen, Handstandhüpfer, Abrollen Grätschsitz</t>
  </si>
  <si>
    <t>Briefmarke, Rückgrätschen --&gt; Bauchlage</t>
  </si>
  <si>
    <t>Kniestand, Abdrücken gebückt --&gt; Handstand, abrollen</t>
  </si>
  <si>
    <t>Vorspreizen, Standwaage --&gt; abrollen, einbeinig rechts auf</t>
  </si>
  <si>
    <t>Vorspreizen, Standwaage --&gt; abrollen, einbeinig links auf</t>
  </si>
  <si>
    <t>Sprungrolle mit Anlauf</t>
  </si>
  <si>
    <t>Strecksprung 1/1 Drehung</t>
  </si>
  <si>
    <t>Flugrolle mit Überstrecken mit Anlauf</t>
  </si>
  <si>
    <t>Vorspreizen, Handstand mit 1/1 Drehung, abrollen</t>
  </si>
  <si>
    <t>--&gt; Aufstehen mit gestreckten Beinen</t>
  </si>
  <si>
    <t>Vorspreizen, Bestellschritt, Strecksprung 3/2 Drehung</t>
  </si>
  <si>
    <t>Salto rückwärts gehockt</t>
  </si>
  <si>
    <t>--&gt; Strecksprung, Salto vorwärts gehockt</t>
  </si>
  <si>
    <t>--&gt; Ansprung Schrittstellung, Handstand mit zwei Hüpfern</t>
  </si>
  <si>
    <t>Abrollen --&gt; Strecksprung 1/2 Drehung</t>
  </si>
  <si>
    <t>Salto vorwärts gebückt mit Anlauf</t>
  </si>
  <si>
    <t>Salto vorwärts gehockt aus dem Stand</t>
  </si>
  <si>
    <t>Rolle rückwärts durch Handstand mit 1/2 Drehung</t>
  </si>
  <si>
    <t>--&gt; Strecksprung --&gt; Salto vorwärts gehockt</t>
  </si>
  <si>
    <t>Wiener, 1/2 Drehung, absenken zum Stand</t>
  </si>
  <si>
    <t>Handstand mit zwei Hüpfern, abrollen</t>
  </si>
  <si>
    <t>--&gt; aufstehen mit gestreckten Beinen</t>
  </si>
  <si>
    <t>Salto rückwärts gebückt</t>
  </si>
  <si>
    <t xml:space="preserve"> </t>
  </si>
  <si>
    <t>Wert - Abzug</t>
  </si>
  <si>
    <t>TN</t>
  </si>
  <si>
    <t>Standsprunghöhe</t>
  </si>
  <si>
    <t>(Ist - Soll) x 10</t>
  </si>
  <si>
    <t>Sitz, 3/4 vw Salto Rücken, Sitz (3x)</t>
  </si>
  <si>
    <t>Sitz, Bauch, Sitz (3x)</t>
  </si>
  <si>
    <t>Sitz, halbe Schraube Bauch, Sitz (3x)</t>
  </si>
  <si>
    <t>Rücken, Bücke Stand, Rücken (3x)</t>
  </si>
  <si>
    <t>Rücken, 1/2 Schraube 1/2 Salto vw Rücken (3x)</t>
  </si>
  <si>
    <t>Rücken, 1/1 Schraube Rücken (1x)</t>
  </si>
  <si>
    <t>Rücken, Muffel Stand, Rücken (3x)</t>
  </si>
  <si>
    <t>Bauch, Bücke Bauch (3x)</t>
  </si>
  <si>
    <t>Bauch, 1/2 Salto rw Rücken, 1/2 Salto vw Bauch (3x)</t>
  </si>
  <si>
    <t>Kürzel</t>
  </si>
  <si>
    <t>Bauch, 1/2 Schraube 1/2 Salto rw, Bauch (3x)</t>
  </si>
  <si>
    <t>Bauch, Handstand, Rücken, Bauch (3x)</t>
  </si>
  <si>
    <t>Rücken, rw Bauch, rw Rücken (3x)</t>
  </si>
  <si>
    <t>Rücken, 1/1 Schraube Rücken (3x)</t>
  </si>
  <si>
    <t>Sitz, 1/1 Schraube Sitz (1x)</t>
  </si>
  <si>
    <t>Rücken, Salto vw c Rücken (1x)</t>
  </si>
  <si>
    <t>Rücken, Salto vw b Rücken (1x)</t>
  </si>
  <si>
    <t>Bauch, ganze Schraube Bauch (3x)</t>
  </si>
  <si>
    <t>Sitz, 2/1 Schraube Sitz (1x)</t>
  </si>
  <si>
    <t>Rücken, 2/1 Schraube Rücken (1x)</t>
  </si>
  <si>
    <t>Rücken, Bauch, Rücken vw (3x)</t>
  </si>
  <si>
    <t>Rücken, Salto vw b Rücken (3x)</t>
  </si>
  <si>
    <t>Rücken, Schraubensalto vw Rücken (1x)</t>
  </si>
  <si>
    <t>Rücken, Salto vw a Rücken (3x)</t>
  </si>
  <si>
    <t>Rücken, 3/2 Schrauben 1/2 Salto vw Rücken (3x)</t>
  </si>
  <si>
    <t>Rücken, 3/2 Schrauben 1/2 Salto vw Rücken (1x)</t>
  </si>
  <si>
    <t>3/4 Salto vw a mit 1/2 Schraube (1x)</t>
  </si>
  <si>
    <t>Rücken, Salto vw c Rücken (5x)</t>
  </si>
  <si>
    <t>7/4 vw b zum Rücken, platt, Arme angelegt</t>
  </si>
  <si>
    <t>Fliffis c</t>
  </si>
  <si>
    <t>Fliffis b</t>
  </si>
  <si>
    <t>Doppelsalto rw b</t>
  </si>
  <si>
    <t>11/4 (2 3/4) Salto vw c zum Rücken</t>
  </si>
  <si>
    <t>7/4 Salto rw c, 1/1 ein 1/2 aus</t>
  </si>
  <si>
    <t>Fliffisrudi c</t>
  </si>
  <si>
    <t>Fliffisrudi b</t>
  </si>
  <si>
    <t>1/2 ein 1/2 aus b</t>
  </si>
  <si>
    <t>Doppelsalto rw a</t>
  </si>
  <si>
    <t>1/1 ein 1/2 aus c</t>
  </si>
  <si>
    <t>1/1 ein 1/2 aus b</t>
  </si>
  <si>
    <t>1/1 ein 0 aus b</t>
  </si>
  <si>
    <t>1/2 ein 3/2 aus c</t>
  </si>
  <si>
    <t>Fliffis c aus der Rückenlage</t>
  </si>
  <si>
    <t>Triffis c</t>
  </si>
  <si>
    <t>Triffis b</t>
  </si>
  <si>
    <t>1/2 ein 3/2 aus b</t>
  </si>
  <si>
    <t>2/1 Salto vw c aus der Rückenlage</t>
  </si>
  <si>
    <t>7/4 Salto vw b zum Rücken, 1/1 aus</t>
  </si>
  <si>
    <t>7/4 Salto rw b, 1/1 ein 1/2 aus</t>
  </si>
  <si>
    <t>40°rw</t>
  </si>
  <si>
    <t>40&lt;rw</t>
  </si>
  <si>
    <t>40°Srw</t>
  </si>
  <si>
    <t>40°vw</t>
  </si>
  <si>
    <t>40&lt;vw</t>
  </si>
  <si>
    <t>04/</t>
  </si>
  <si>
    <t>30°B</t>
  </si>
  <si>
    <t>30&lt;B</t>
  </si>
  <si>
    <t>50°R</t>
  </si>
  <si>
    <t>30/R</t>
  </si>
  <si>
    <t>30/B</t>
  </si>
  <si>
    <t>700°R</t>
  </si>
  <si>
    <t>700&lt;R</t>
  </si>
  <si>
    <t>820°</t>
  </si>
  <si>
    <t>802°</t>
  </si>
  <si>
    <t>820&lt;</t>
  </si>
  <si>
    <t>802&lt;</t>
  </si>
  <si>
    <t>11000°R</t>
  </si>
  <si>
    <t>901°</t>
  </si>
  <si>
    <t>831&lt;</t>
  </si>
  <si>
    <t>11000&lt;R</t>
  </si>
  <si>
    <t>901&lt;</t>
  </si>
  <si>
    <t>FLG</t>
  </si>
  <si>
    <t>PS</t>
  </si>
  <si>
    <t>Bleep</t>
  </si>
  <si>
    <t>TN 1</t>
  </si>
  <si>
    <t>TN 2</t>
  </si>
  <si>
    <t>TN 3</t>
  </si>
  <si>
    <t>TN 4</t>
  </si>
  <si>
    <t>TN 5</t>
  </si>
  <si>
    <t>TN 6</t>
  </si>
  <si>
    <t>Punktzahl
BKÜ</t>
  </si>
  <si>
    <r>
      <rPr>
        <b/>
        <sz val="11"/>
        <color theme="1"/>
        <rFont val="Calibri"/>
        <family val="2"/>
        <scheme val="minor"/>
      </rPr>
      <t>Änderungen an Teilnehmerdaten</t>
    </r>
    <r>
      <rPr>
        <sz val="11"/>
        <color theme="1"/>
        <rFont val="Calibri"/>
        <family val="2"/>
        <scheme val="minor"/>
      </rPr>
      <t xml:space="preserve">
Verein und Jahrgang lassen sich auf der jeweiligen Aktivenkarte ändern und
werden auf dem Auswertungsblatt übernommen</t>
    </r>
  </si>
  <si>
    <t>Handstützüberschlag</t>
  </si>
  <si>
    <t>Wertungsbögen zum bundeseinheitlichen Leistungsvoraussetzungstest</t>
  </si>
  <si>
    <t>Punktzahl</t>
  </si>
  <si>
    <t>Max / Soll</t>
  </si>
  <si>
    <t>Abzug / Ist</t>
  </si>
  <si>
    <t>Abzug</t>
  </si>
  <si>
    <t>Max. Abzug</t>
  </si>
  <si>
    <t>MaxAbzug</t>
  </si>
  <si>
    <t>BKÜ_9</t>
  </si>
  <si>
    <t>BKÜ_10_11</t>
  </si>
  <si>
    <t>BKÜ_12_13</t>
  </si>
  <si>
    <t>BKÜ_14_16</t>
  </si>
  <si>
    <t>BKÜ_17</t>
  </si>
  <si>
    <t>40°</t>
  </si>
  <si>
    <t>40&lt;</t>
  </si>
  <si>
    <t>41&lt;</t>
  </si>
  <si>
    <t>02/</t>
  </si>
  <si>
    <t>G_TBN TN BKÜ</t>
  </si>
  <si>
    <t>G_TV</t>
  </si>
  <si>
    <t>TBN</t>
  </si>
  <si>
    <t>BKÜ</t>
  </si>
  <si>
    <t>41°</t>
  </si>
  <si>
    <t>11/4 (2 3/4) vw c mit 90° Hüftwinkel, Arme zur Decke</t>
  </si>
  <si>
    <t>Vorspreizen, Beistellschritt, Strecksprung 1/1 Drehung</t>
  </si>
  <si>
    <t>Version</t>
  </si>
  <si>
    <t>Datum</t>
  </si>
  <si>
    <t>Änderungen</t>
  </si>
  <si>
    <t>Erstanlage mit Bewertungstabelle für 2019</t>
  </si>
  <si>
    <t>2019_v1</t>
  </si>
  <si>
    <t>2019_v2</t>
  </si>
  <si>
    <t>Gesamt-Mindestwert eingefügt</t>
  </si>
  <si>
    <t>2019_v3</t>
  </si>
  <si>
    <t>Formatierungen angepasst</t>
  </si>
  <si>
    <t>2019_v4</t>
  </si>
  <si>
    <t>Makro bzgl. Blattschutz angepasst</t>
  </si>
  <si>
    <t>2019_v5</t>
  </si>
  <si>
    <t>Fehler in Punktetabelle Beinheben behoben</t>
  </si>
  <si>
    <t xml:space="preserve">Level: </t>
  </si>
  <si>
    <t xml:space="preserve">Shuttle: </t>
  </si>
  <si>
    <t>2019_v6</t>
  </si>
  <si>
    <t>Eingabe für Shuttle-Run angepasst</t>
  </si>
  <si>
    <t>2020_v1</t>
  </si>
  <si>
    <t>Anpassung auf 2020</t>
  </si>
  <si>
    <t>2020_v2</t>
  </si>
  <si>
    <t>Auswahl für Methode der ToF-Bestimmung hinzugefügt</t>
  </si>
  <si>
    <t>Druckmessplatte</t>
  </si>
  <si>
    <t>Globale Auswahl der Methode der ToF-Bestimmung</t>
  </si>
  <si>
    <t>2020_v3</t>
  </si>
  <si>
    <t>Leerzeichen in Namen ermöglicht</t>
  </si>
  <si>
    <t>2020_v4</t>
  </si>
  <si>
    <t>- Fehler in Technikverbindung behoben
- Bezeichnungen vereinheitlicht</t>
  </si>
  <si>
    <t>2021_v1</t>
  </si>
  <si>
    <t>Shuttlerun w</t>
  </si>
  <si>
    <t>Shuttlerun m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</si>
  <si>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</si>
  <si>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</si>
  <si>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</si>
  <si>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</si>
  <si>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</si>
  <si>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</si>
  <si>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</si>
  <si>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</si>
  <si>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</si>
  <si>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</si>
  <si>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</si>
  <si>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</si>
  <si>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</si>
  <si>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</si>
  <si>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</si>
  <si>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</si>
  <si>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</si>
  <si>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</si>
  <si>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</si>
  <si>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Handstand</t>
  </si>
  <si>
    <t>Erste Anpassungen an neuen LVT:
- Wiener / Schweizer ausgeblendet
- Struktur Punktetabellen angepasst</t>
  </si>
  <si>
    <t>Kadertest Stand 26.06.2021 (Trampolin, BKÜ offen)</t>
  </si>
  <si>
    <t>2021_v2</t>
  </si>
  <si>
    <t>Fehler in Formel für Shuttle-Run behoben</t>
  </si>
  <si>
    <t>Korbinian Hauck, 03.07.2021</t>
  </si>
  <si>
    <t>2021_v3</t>
  </si>
  <si>
    <t>Anpassung AKs Trampolinteil</t>
  </si>
  <si>
    <t>TBN_beide_8</t>
  </si>
  <si>
    <t>TBN_beide_9_10</t>
  </si>
  <si>
    <t>TBN_beide_11</t>
  </si>
  <si>
    <t>TBN_weiblich_12_13</t>
  </si>
  <si>
    <t>TBN_weiblich_14_15</t>
  </si>
  <si>
    <t>TBN_männlich_12_13</t>
  </si>
  <si>
    <t>TBN_männlich_14_15</t>
  </si>
  <si>
    <t>TN_beide_8</t>
  </si>
  <si>
    <t>TN_beide_9_10</t>
  </si>
  <si>
    <t>TN_beide_11</t>
  </si>
  <si>
    <t>TN_weiblich_12_13</t>
  </si>
  <si>
    <t>TN_weiblich_14_15</t>
  </si>
  <si>
    <t>TN_weiblich_16_17</t>
  </si>
  <si>
    <t>TN_weiblich_18</t>
  </si>
  <si>
    <t>TN_männlich_12_13</t>
  </si>
  <si>
    <t>TN_männlich_14_15</t>
  </si>
  <si>
    <t>TN_männlich_16_17</t>
  </si>
  <si>
    <t>TN_männlich_18</t>
  </si>
  <si>
    <t>TV_beide_11</t>
  </si>
  <si>
    <t>TV_beide_12_13</t>
  </si>
  <si>
    <t>TV_beide_14_15</t>
  </si>
  <si>
    <t>TV_weiblich_16_17</t>
  </si>
  <si>
    <t>TV_weiblich_18</t>
  </si>
  <si>
    <t>TV_männlich_16_17</t>
  </si>
  <si>
    <t>TV_männlich_18</t>
  </si>
  <si>
    <t>&lt;15 cm</t>
  </si>
  <si>
    <t>Summe Bew Kraft BKÜ</t>
  </si>
  <si>
    <t>keine BKU - 66 Pkt minimun</t>
  </si>
  <si>
    <t>84 Pkt minimun</t>
  </si>
  <si>
    <t>NK 1</t>
  </si>
  <si>
    <t>NK 2</t>
  </si>
  <si>
    <t>NK 1 und NK 2 möglich</t>
  </si>
  <si>
    <t>JEM</t>
  </si>
  <si>
    <t>AK / Wiederholungen</t>
  </si>
  <si>
    <t>AK / sec.</t>
  </si>
  <si>
    <t>1 3/4 Salto vw 1 Schraube aus c oder b</t>
  </si>
  <si>
    <t>10/11</t>
  </si>
  <si>
    <t>702° R oder 702&lt; R</t>
  </si>
  <si>
    <t>701&lt; R</t>
  </si>
  <si>
    <t>1100° R</t>
  </si>
  <si>
    <t>721° B</t>
  </si>
  <si>
    <t>720° R oder 720&lt; R</t>
  </si>
  <si>
    <t xml:space="preserve">Bachmann, Rieke </t>
  </si>
  <si>
    <t>Steinbrenner, Greta</t>
  </si>
  <si>
    <t>Xing Hohmann, Thea</t>
  </si>
  <si>
    <t>TT Niedernhausen</t>
  </si>
  <si>
    <t>TSV Ganderkesee</t>
  </si>
  <si>
    <t>Melnichuk, Alexandra</t>
  </si>
  <si>
    <t>TGJ Salzgitter</t>
  </si>
  <si>
    <t>Volska, Nikola</t>
  </si>
  <si>
    <t>Hering, Pauline</t>
  </si>
  <si>
    <t>Munich-Airriders</t>
  </si>
  <si>
    <t>Striese, Hendrik</t>
  </si>
  <si>
    <t>Hirsch, Liska</t>
  </si>
  <si>
    <t>Eislöffel, Aurelia</t>
  </si>
  <si>
    <t>MTV Bad Kreuznach</t>
  </si>
  <si>
    <t xml:space="preserve">Schneider, Fiona </t>
  </si>
  <si>
    <t>TV Unterbach</t>
  </si>
  <si>
    <t>Langner, Sabrina</t>
  </si>
  <si>
    <t>Braaf, Luisa</t>
  </si>
  <si>
    <t>Stöhr, Gabriela</t>
  </si>
  <si>
    <t>Munich-Airiders</t>
  </si>
  <si>
    <t>Radfelder-Henning, Mirja</t>
  </si>
  <si>
    <t>OSC Bremerhaven</t>
  </si>
  <si>
    <t>Möller, Maya</t>
  </si>
  <si>
    <t>TG Dietzenbach</t>
  </si>
  <si>
    <t xml:space="preserve">Schuldt, Christine </t>
  </si>
  <si>
    <t>720&lt;</t>
  </si>
  <si>
    <t>11000°</t>
  </si>
  <si>
    <t>11000&lt;</t>
  </si>
  <si>
    <t>Fliffisrudy b</t>
  </si>
  <si>
    <t>Frankfurt Flyers</t>
  </si>
  <si>
    <t>ja</t>
  </si>
  <si>
    <t>nein</t>
  </si>
  <si>
    <t>Leitner, Tobias</t>
  </si>
  <si>
    <t>TG Münster</t>
  </si>
  <si>
    <t>Leitner, Michael</t>
  </si>
  <si>
    <t>SC Cottbus</t>
  </si>
  <si>
    <t>Bauer, Philipp</t>
  </si>
  <si>
    <t>Garmann, Lars</t>
  </si>
  <si>
    <t>Ramacher, Marrit</t>
  </si>
  <si>
    <t>MTV Vorsfelde</t>
  </si>
  <si>
    <t>Braun, Janis</t>
  </si>
  <si>
    <t>TV Nellingen</t>
  </si>
  <si>
    <t>Ronsiek-Niederbröcker, Hannah</t>
  </si>
  <si>
    <t>Rösler, Manuel</t>
  </si>
  <si>
    <t>MTV Stuttgart</t>
  </si>
  <si>
    <t>Feyh, Miguel</t>
  </si>
  <si>
    <t>DTV Die Känguruh</t>
  </si>
  <si>
    <t>SV Brackwede</t>
  </si>
  <si>
    <t xml:space="preserve">Frey, Luka </t>
  </si>
  <si>
    <t>Ramache, Marrit</t>
  </si>
  <si>
    <t>Totzke, Viona</t>
  </si>
  <si>
    <t>720 b</t>
  </si>
  <si>
    <t>7&lt;</t>
  </si>
  <si>
    <t>53&lt;</t>
  </si>
  <si>
    <t>R800°R</t>
  </si>
  <si>
    <t>700&lt;</t>
  </si>
  <si>
    <t>700 c zum Rücken, platt, Arme angelegt</t>
  </si>
  <si>
    <t>700 vw b zum Rücken, platt, Arme angelegt</t>
  </si>
  <si>
    <t>710 rw c zum Rücken</t>
  </si>
  <si>
    <t>710 rw b zum Rücken</t>
  </si>
  <si>
    <t>800 vw c aus der Rückenlage</t>
  </si>
  <si>
    <t>702 vw c zum Rücken</t>
  </si>
  <si>
    <t>53 &lt; (Babyrudy b)</t>
  </si>
  <si>
    <t>700 vw c zum Rücken, platt, Arme angelegt</t>
  </si>
  <si>
    <t xml:space="preserve">702° oder &lt; vw </t>
  </si>
  <si>
    <t>50 rw b Rücken (1x)</t>
  </si>
  <si>
    <t xml:space="preserve">32 vw a </t>
  </si>
  <si>
    <t>33 rw a Rückenlage</t>
  </si>
  <si>
    <t>53 c vw (Babyrudi c)</t>
  </si>
  <si>
    <t>12101 °</t>
  </si>
  <si>
    <t>SV Melle</t>
  </si>
  <si>
    <t>Erfüllt 
11-16 J. 91 Pkt
17+ 71 Pkt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</si>
</sst>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6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221">
    <xf numFmtId="0" fontId="0" fillId="0" borderId="0" xfId="0"/>
    <xf numFmtId="0" fontId="3" fillId="0" borderId="0" xfId="0" applyFont="1" applyBorder="1" applyAlignment="1">
      <alignment vertical="center"/>
    </xf>
    <xf numFmtId="0" fontId="0" fillId="0" borderId="32" xfId="0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0" fillId="11" borderId="34" xfId="0" applyFill="1" applyBorder="1" applyAlignment="1">
      <alignment horizontal="center"/>
    </xf>
    <xf numFmtId="0" fontId="0" fillId="11" borderId="32" xfId="0" applyFill="1" applyBorder="1" applyAlignment="1">
      <alignment horizontal="center"/>
    </xf>
    <xf numFmtId="0" fontId="0" fillId="11" borderId="33" xfId="0" applyFill="1" applyBorder="1" applyAlignment="1">
      <alignment horizontal="center"/>
    </xf>
    <xf numFmtId="0" fontId="0" fillId="11" borderId="39" xfId="0" applyFill="1" applyBorder="1" applyAlignment="1">
      <alignment horizontal="center"/>
    </xf>
    <xf numFmtId="0" fontId="0" fillId="11" borderId="38" xfId="0" applyFill="1" applyBorder="1" applyAlignment="1">
      <alignment horizontal="center"/>
    </xf>
    <xf numFmtId="0" fontId="0" fillId="11" borderId="40" xfId="0" applyFill="1" applyBorder="1" applyAlignment="1">
      <alignment horizontal="center"/>
    </xf>
    <xf numFmtId="0" fontId="1" fillId="0" borderId="0" xfId="1"/>
    <xf numFmtId="0" fontId="13" fillId="0" borderId="0" xfId="3"/>
    <xf numFmtId="0" fontId="14" fillId="0" borderId="0" xfId="0" applyFont="1"/>
    <xf numFmtId="0" fontId="0" fillId="0" borderId="0" xfId="0" applyAlignment="1">
      <alignment wrapText="1"/>
    </xf>
    <xf numFmtId="0" fontId="0" fillId="3" borderId="19" xfId="0" applyFill="1" applyBorder="1" applyAlignment="1" applyProtection="1">
      <alignment horizontal="center"/>
      <protection locked="0"/>
    </xf>
    <xf numFmtId="0" fontId="0" fillId="0" borderId="31" xfId="0" applyFill="1" applyBorder="1" applyAlignment="1">
      <alignment horizontal="center"/>
    </xf>
    <xf numFmtId="0" fontId="7" fillId="8" borderId="22" xfId="0" applyFont="1" applyFill="1" applyBorder="1" applyAlignment="1"/>
    <xf numFmtId="0" fontId="7" fillId="8" borderId="29" xfId="0" applyFont="1" applyFill="1" applyBorder="1" applyAlignment="1"/>
    <xf numFmtId="0" fontId="3" fillId="11" borderId="33" xfId="0" applyFont="1" applyFill="1" applyBorder="1" applyAlignment="1">
      <alignment horizontal="center" vertical="center"/>
    </xf>
    <xf numFmtId="0" fontId="3" fillId="11" borderId="33" xfId="0" applyFont="1" applyFill="1" applyBorder="1" applyAlignment="1">
      <alignment horizontal="center"/>
    </xf>
    <xf numFmtId="164" fontId="12" fillId="0" borderId="40" xfId="2" applyNumberFormat="1" applyFont="1" applyFill="1" applyBorder="1" applyAlignment="1">
      <alignment horizontal="center" vertical="center"/>
    </xf>
    <xf numFmtId="164" fontId="12" fillId="0" borderId="34" xfId="0" applyNumberFormat="1" applyFont="1" applyFill="1" applyBorder="1" applyAlignment="1">
      <alignment horizontal="center" vertical="center"/>
    </xf>
    <xf numFmtId="0" fontId="3" fillId="10" borderId="33" xfId="0" applyFont="1" applyFill="1" applyBorder="1" applyAlignment="1">
      <alignment horizontal="center" vertical="center"/>
    </xf>
    <xf numFmtId="0" fontId="0" fillId="0" borderId="0" xfId="0" applyProtection="1">
      <protection hidden="1"/>
    </xf>
    <xf numFmtId="0" fontId="12" fillId="0" borderId="0" xfId="0" applyFont="1" applyFill="1" applyBorder="1" applyAlignment="1" applyProtection="1">
      <protection hidden="1"/>
    </xf>
    <xf numFmtId="0" fontId="0" fillId="3" borderId="16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1" fontId="0" fillId="4" borderId="19" xfId="0" applyNumberFormat="1" applyFill="1" applyBorder="1" applyAlignment="1" applyProtection="1">
      <alignment horizontal="center"/>
      <protection locked="0"/>
    </xf>
    <xf numFmtId="1" fontId="0" fillId="4" borderId="19" xfId="0" applyNumberFormat="1" applyFont="1" applyFill="1" applyBorder="1" applyAlignment="1" applyProtection="1">
      <alignment horizontal="center"/>
      <protection locked="0"/>
    </xf>
    <xf numFmtId="1" fontId="0" fillId="4" borderId="2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0" fontId="12" fillId="0" borderId="0" xfId="2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1" fontId="0" fillId="14" borderId="31" xfId="0" applyNumberFormat="1" applyFill="1" applyBorder="1" applyAlignment="1">
      <alignment horizontal="center"/>
    </xf>
    <xf numFmtId="1" fontId="0" fillId="14" borderId="34" xfId="0" applyNumberFormat="1" applyFill="1" applyBorder="1" applyAlignment="1">
      <alignment horizontal="center"/>
    </xf>
    <xf numFmtId="1" fontId="0" fillId="14" borderId="32" xfId="0" applyNumberFormat="1" applyFill="1" applyBorder="1" applyAlignment="1">
      <alignment horizontal="center"/>
    </xf>
    <xf numFmtId="1" fontId="0" fillId="15" borderId="31" xfId="0" applyNumberFormat="1" applyFill="1" applyBorder="1" applyAlignment="1">
      <alignment horizontal="center"/>
    </xf>
    <xf numFmtId="1" fontId="0" fillId="15" borderId="34" xfId="0" applyNumberFormat="1" applyFill="1" applyBorder="1" applyAlignment="1">
      <alignment horizontal="center"/>
    </xf>
    <xf numFmtId="1" fontId="0" fillId="15" borderId="32" xfId="0" applyNumberFormat="1" applyFill="1" applyBorder="1" applyAlignment="1">
      <alignment horizontal="center"/>
    </xf>
    <xf numFmtId="0" fontId="0" fillId="16" borderId="19" xfId="0" applyFill="1" applyBorder="1" applyAlignment="1" applyProtection="1">
      <alignment horizontal="center"/>
    </xf>
    <xf numFmtId="0" fontId="0" fillId="3" borderId="24" xfId="0" applyFill="1" applyBorder="1" applyAlignment="1" applyProtection="1">
      <alignment horizontal="center"/>
      <protection locked="0"/>
    </xf>
    <xf numFmtId="0" fontId="0" fillId="5" borderId="19" xfId="0" applyNumberFormat="1" applyFill="1" applyBorder="1" applyAlignment="1" applyProtection="1">
      <alignment horizontal="center"/>
      <protection locked="0"/>
    </xf>
    <xf numFmtId="164" fontId="12" fillId="6" borderId="19" xfId="0" applyNumberFormat="1" applyFont="1" applyFill="1" applyBorder="1" applyAlignment="1" applyProtection="1">
      <alignment horizontal="center"/>
      <protection locked="0"/>
    </xf>
    <xf numFmtId="164" fontId="3" fillId="11" borderId="3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10" borderId="27" xfId="0" applyFont="1" applyFill="1" applyBorder="1" applyAlignment="1">
      <alignment horizontal="center" vertical="center"/>
    </xf>
    <xf numFmtId="0" fontId="3" fillId="10" borderId="41" xfId="0" applyFont="1" applyFill="1" applyBorder="1" applyAlignment="1">
      <alignment horizontal="center" vertical="center"/>
    </xf>
    <xf numFmtId="1" fontId="3" fillId="11" borderId="33" xfId="0" applyNumberFormat="1" applyFont="1" applyFill="1" applyBorder="1" applyAlignment="1">
      <alignment horizontal="center"/>
    </xf>
    <xf numFmtId="0" fontId="3" fillId="10" borderId="3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hidden="1"/>
    </xf>
    <xf numFmtId="0" fontId="9" fillId="8" borderId="16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2" fillId="0" borderId="0" xfId="2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14" borderId="17" xfId="0" applyFill="1" applyBorder="1" applyAlignment="1">
      <alignment horizontal="center"/>
    </xf>
    <xf numFmtId="0" fontId="0" fillId="14" borderId="20" xfId="0" applyFill="1" applyBorder="1" applyAlignment="1">
      <alignment horizontal="center"/>
    </xf>
    <xf numFmtId="0" fontId="0" fillId="14" borderId="25" xfId="0" applyFill="1" applyBorder="1" applyAlignment="1">
      <alignment horizontal="center"/>
    </xf>
    <xf numFmtId="0" fontId="0" fillId="15" borderId="4" xfId="0" applyFill="1" applyBorder="1" applyAlignment="1">
      <alignment horizontal="center"/>
    </xf>
    <xf numFmtId="0" fontId="0" fillId="15" borderId="18" xfId="0" applyFill="1" applyBorder="1" applyAlignment="1">
      <alignment horizontal="center"/>
    </xf>
    <xf numFmtId="0" fontId="0" fillId="15" borderId="21" xfId="0" applyFill="1" applyBorder="1" applyAlignment="1">
      <alignment horizontal="center"/>
    </xf>
    <xf numFmtId="0" fontId="7" fillId="8" borderId="16" xfId="0" applyFont="1" applyFill="1" applyBorder="1" applyAlignment="1">
      <alignment horizontal="left"/>
    </xf>
    <xf numFmtId="0" fontId="7" fillId="8" borderId="24" xfId="0" applyFont="1" applyFill="1" applyBorder="1" applyAlignment="1">
      <alignment horizontal="left"/>
    </xf>
    <xf numFmtId="0" fontId="9" fillId="17" borderId="17" xfId="0" applyFont="1" applyFill="1" applyBorder="1" applyAlignment="1" applyProtection="1">
      <alignment horizontal="center"/>
      <protection locked="0"/>
    </xf>
    <xf numFmtId="0" fontId="10" fillId="8" borderId="25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16" borderId="44" xfId="0" applyNumberFormat="1" applyFill="1" applyBorder="1" applyAlignment="1">
      <alignment horizontal="center"/>
    </xf>
    <xf numFmtId="165" fontId="0" fillId="5" borderId="16" xfId="0" applyNumberFormat="1" applyFill="1" applyBorder="1" applyAlignment="1" applyProtection="1">
      <alignment horizontal="center"/>
      <protection locked="0"/>
    </xf>
    <xf numFmtId="0" fontId="0" fillId="16" borderId="24" xfId="0" applyFill="1" applyBorder="1" applyAlignment="1" applyProtection="1">
      <alignment horizontal="center"/>
    </xf>
    <xf numFmtId="0" fontId="0" fillId="5" borderId="24" xfId="0" applyNumberFormat="1" applyFill="1" applyBorder="1" applyAlignment="1" applyProtection="1">
      <alignment horizontal="center"/>
      <protection locked="0"/>
    </xf>
    <xf numFmtId="1" fontId="0" fillId="16" borderId="13" xfId="0" applyNumberFormat="1" applyFill="1" applyBorder="1" applyAlignment="1">
      <alignment horizontal="center"/>
    </xf>
    <xf numFmtId="0" fontId="0" fillId="16" borderId="20" xfId="0" quotePrefix="1" applyFill="1" applyBorder="1" applyAlignment="1">
      <alignment horizontal="center"/>
    </xf>
    <xf numFmtId="0" fontId="0" fillId="16" borderId="25" xfId="0" quotePrefix="1" applyFill="1" applyBorder="1" applyAlignment="1">
      <alignment horizontal="center"/>
    </xf>
    <xf numFmtId="0" fontId="0" fillId="9" borderId="48" xfId="0" applyFont="1" applyFill="1" applyBorder="1"/>
    <xf numFmtId="0" fontId="0" fillId="0" borderId="48" xfId="0" applyFont="1" applyBorder="1"/>
    <xf numFmtId="0" fontId="15" fillId="12" borderId="49" xfId="0" applyFont="1" applyFill="1" applyBorder="1"/>
    <xf numFmtId="0" fontId="0" fillId="0" borderId="50" xfId="0" applyFont="1" applyBorder="1"/>
    <xf numFmtId="0" fontId="0" fillId="5" borderId="19" xfId="0" applyFill="1" applyBorder="1" applyAlignment="1" applyProtection="1">
      <alignment horizontal="center"/>
      <protection locked="0"/>
    </xf>
    <xf numFmtId="0" fontId="0" fillId="16" borderId="19" xfId="0" applyFill="1" applyBorder="1" applyAlignment="1" applyProtection="1">
      <alignment horizontal="center"/>
      <protection locked="0"/>
    </xf>
    <xf numFmtId="164" fontId="12" fillId="6" borderId="16" xfId="0" applyNumberFormat="1" applyFont="1" applyFill="1" applyBorder="1" applyAlignment="1" applyProtection="1">
      <alignment horizontal="center"/>
      <protection locked="0"/>
    </xf>
    <xf numFmtId="0" fontId="12" fillId="13" borderId="17" xfId="0" applyFont="1" applyFill="1" applyBorder="1" applyAlignment="1">
      <alignment horizontal="center"/>
    </xf>
    <xf numFmtId="0" fontId="12" fillId="13" borderId="20" xfId="0" applyFont="1" applyFill="1" applyBorder="1" applyAlignment="1">
      <alignment horizontal="center"/>
    </xf>
    <xf numFmtId="164" fontId="12" fillId="6" borderId="24" xfId="0" applyNumberFormat="1" applyFont="1" applyFill="1" applyBorder="1" applyAlignment="1" applyProtection="1">
      <alignment horizontal="center"/>
      <protection locked="0"/>
    </xf>
    <xf numFmtId="0" fontId="12" fillId="13" borderId="25" xfId="0" applyFont="1" applyFill="1" applyBorder="1" applyAlignment="1">
      <alignment horizontal="center"/>
    </xf>
    <xf numFmtId="164" fontId="0" fillId="13" borderId="51" xfId="0" applyNumberFormat="1" applyFont="1" applyFill="1" applyBorder="1" applyAlignment="1">
      <alignment horizontal="center"/>
    </xf>
    <xf numFmtId="0" fontId="3" fillId="10" borderId="53" xfId="0" applyFont="1" applyFill="1" applyBorder="1" applyAlignment="1">
      <alignment horizontal="center" vertical="center"/>
    </xf>
    <xf numFmtId="0" fontId="3" fillId="10" borderId="47" xfId="0" applyFont="1" applyFill="1" applyBorder="1" applyAlignment="1">
      <alignment horizontal="center" vertical="center"/>
    </xf>
    <xf numFmtId="164" fontId="12" fillId="13" borderId="19" xfId="0" applyNumberFormat="1" applyFont="1" applyFill="1" applyBorder="1" applyAlignment="1">
      <alignment horizontal="center"/>
    </xf>
    <xf numFmtId="165" fontId="0" fillId="16" borderId="38" xfId="0" applyNumberFormat="1" applyFill="1" applyBorder="1" applyAlignment="1">
      <alignment horizontal="center" vertical="center"/>
    </xf>
    <xf numFmtId="165" fontId="3" fillId="11" borderId="42" xfId="0" applyNumberFormat="1" applyFont="1" applyFill="1" applyBorder="1" applyAlignment="1">
      <alignment horizontal="center"/>
    </xf>
    <xf numFmtId="165" fontId="0" fillId="16" borderId="16" xfId="0" applyNumberFormat="1" applyFill="1" applyBorder="1" applyAlignment="1" applyProtection="1">
      <alignment horizontal="center"/>
    </xf>
    <xf numFmtId="0" fontId="0" fillId="16" borderId="17" xfId="0" applyFill="1" applyBorder="1" applyAlignment="1">
      <alignment horizontal="center" vertical="center"/>
    </xf>
    <xf numFmtId="164" fontId="12" fillId="13" borderId="16" xfId="0" applyNumberFormat="1" applyFont="1" applyFill="1" applyBorder="1" applyAlignment="1">
      <alignment horizontal="center"/>
    </xf>
    <xf numFmtId="164" fontId="12" fillId="13" borderId="24" xfId="0" applyNumberFormat="1" applyFont="1" applyFill="1" applyBorder="1" applyAlignment="1">
      <alignment horizontal="center"/>
    </xf>
    <xf numFmtId="165" fontId="7" fillId="7" borderId="42" xfId="0" applyNumberFormat="1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vertical="center" wrapText="1"/>
    </xf>
    <xf numFmtId="1" fontId="3" fillId="4" borderId="0" xfId="0" applyNumberFormat="1" applyFont="1" applyFill="1" applyBorder="1" applyAlignment="1">
      <alignment vertical="center" wrapText="1"/>
    </xf>
    <xf numFmtId="1" fontId="3" fillId="5" borderId="0" xfId="0" applyNumberFormat="1" applyFont="1" applyFill="1" applyBorder="1" applyAlignment="1">
      <alignment vertical="center" wrapText="1"/>
    </xf>
    <xf numFmtId="1" fontId="0" fillId="0" borderId="0" xfId="0" applyNumberFormat="1" applyAlignment="1">
      <alignment horizontal="center"/>
    </xf>
    <xf numFmtId="0" fontId="0" fillId="0" borderId="0" xfId="0" applyBorder="1" applyAlignment="1"/>
    <xf numFmtId="165" fontId="3" fillId="5" borderId="0" xfId="0" applyNumberFormat="1" applyFont="1" applyFill="1" applyBorder="1" applyAlignment="1">
      <alignment vertical="center" wrapText="1"/>
    </xf>
    <xf numFmtId="165" fontId="0" fillId="0" borderId="0" xfId="0" applyNumberFormat="1" applyAlignment="1">
      <alignment horizontal="center"/>
    </xf>
    <xf numFmtId="165" fontId="3" fillId="7" borderId="0" xfId="0" applyNumberFormat="1" applyFont="1" applyFill="1" applyBorder="1" applyAlignment="1">
      <alignment vertical="center" wrapText="1"/>
    </xf>
    <xf numFmtId="164" fontId="3" fillId="6" borderId="0" xfId="0" applyNumberFormat="1" applyFont="1" applyFill="1" applyBorder="1" applyAlignment="1">
      <alignment vertical="center" wrapText="1"/>
    </xf>
    <xf numFmtId="164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14" fontId="0" fillId="0" borderId="0" xfId="0" applyNumberFormat="1"/>
    <xf numFmtId="0" fontId="3" fillId="0" borderId="0" xfId="0" applyFont="1"/>
    <xf numFmtId="0" fontId="0" fillId="16" borderId="6" xfId="0" applyFill="1" applyBorder="1" applyAlignment="1"/>
    <xf numFmtId="0" fontId="0" fillId="16" borderId="8" xfId="0" applyFill="1" applyBorder="1" applyAlignment="1" applyProtection="1">
      <alignment horizontal="center"/>
      <protection locked="0"/>
    </xf>
    <xf numFmtId="0" fontId="0" fillId="15" borderId="10" xfId="0" applyFill="1" applyBorder="1" applyAlignment="1"/>
    <xf numFmtId="0" fontId="0" fillId="15" borderId="11" xfId="0" applyFill="1" applyBorder="1" applyAlignment="1"/>
    <xf numFmtId="0" fontId="0" fillId="15" borderId="11" xfId="0" applyFill="1" applyBorder="1" applyAlignment="1">
      <alignment horizontal="right"/>
    </xf>
    <xf numFmtId="0" fontId="0" fillId="15" borderId="12" xfId="0" applyFill="1" applyBorder="1" applyAlignment="1">
      <alignment horizontal="right"/>
    </xf>
    <xf numFmtId="0" fontId="12" fillId="5" borderId="16" xfId="0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quotePrefix="1" applyAlignment="1">
      <alignment wrapText="1"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0" xfId="0" applyFill="1"/>
    <xf numFmtId="164" fontId="0" fillId="0" borderId="0" xfId="0" applyNumberFormat="1"/>
    <xf numFmtId="0" fontId="3" fillId="18" borderId="0" xfId="0" applyFont="1" applyFill="1" applyBorder="1" applyAlignment="1">
      <alignment wrapText="1"/>
    </xf>
    <xf numFmtId="0" fontId="0" fillId="4" borderId="0" xfId="0" applyFill="1"/>
    <xf numFmtId="0" fontId="0" fillId="11" borderId="0" xfId="0" applyFill="1"/>
    <xf numFmtId="0" fontId="0" fillId="3" borderId="0" xfId="0" applyFill="1"/>
    <xf numFmtId="0" fontId="0" fillId="17" borderId="0" xfId="0" applyFill="1"/>
    <xf numFmtId="0" fontId="0" fillId="20" borderId="0" xfId="0" applyFill="1"/>
    <xf numFmtId="0" fontId="0" fillId="0" borderId="0" xfId="0" applyAlignment="1">
      <alignment horizontal="center"/>
    </xf>
    <xf numFmtId="1" fontId="0" fillId="21" borderId="0" xfId="0" applyNumberFormat="1" applyFill="1" applyAlignment="1">
      <alignment horizontal="center"/>
    </xf>
    <xf numFmtId="49" fontId="12" fillId="0" borderId="0" xfId="0" applyNumberFormat="1" applyFont="1" applyFill="1" applyAlignment="1">
      <alignment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2" borderId="0" xfId="0" applyFill="1" applyAlignment="1">
      <alignment horizontal="center"/>
    </xf>
    <xf numFmtId="0" fontId="12" fillId="23" borderId="0" xfId="0" applyFont="1" applyFill="1" applyAlignment="1">
      <alignment horizontal="center"/>
    </xf>
    <xf numFmtId="164" fontId="0" fillId="19" borderId="0" xfId="0" applyNumberFormat="1" applyFill="1" applyAlignment="1">
      <alignment horizontal="center"/>
    </xf>
    <xf numFmtId="165" fontId="0" fillId="2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19" borderId="0" xfId="0" applyFont="1" applyFill="1" applyAlignment="1">
      <alignment horizontal="left" vertical="center" wrapText="1"/>
    </xf>
    <xf numFmtId="0" fontId="3" fillId="19" borderId="0" xfId="0" applyFont="1" applyFill="1" applyBorder="1" applyAlignment="1">
      <alignment horizontal="left" vertical="center" wrapText="1"/>
    </xf>
    <xf numFmtId="0" fontId="3" fillId="10" borderId="57" xfId="0" applyFont="1" applyFill="1" applyBorder="1" applyAlignment="1">
      <alignment horizontal="left" vertical="center"/>
    </xf>
    <xf numFmtId="0" fontId="3" fillId="10" borderId="53" xfId="0" applyFont="1" applyFill="1" applyBorder="1" applyAlignment="1">
      <alignment horizontal="left" vertical="center"/>
    </xf>
    <xf numFmtId="0" fontId="11" fillId="15" borderId="36" xfId="0" applyFont="1" applyFill="1" applyBorder="1" applyAlignment="1">
      <alignment horizontal="left"/>
    </xf>
    <xf numFmtId="0" fontId="11" fillId="15" borderId="37" xfId="0" applyFont="1" applyFill="1" applyBorder="1" applyAlignment="1">
      <alignment horizontal="left"/>
    </xf>
    <xf numFmtId="0" fontId="12" fillId="13" borderId="23" xfId="0" applyFont="1" applyFill="1" applyBorder="1" applyAlignment="1">
      <alignment horizontal="left"/>
    </xf>
    <xf numFmtId="0" fontId="12" fillId="13" borderId="19" xfId="0" applyFont="1" applyFill="1" applyBorder="1" applyAlignment="1">
      <alignment horizontal="left"/>
    </xf>
    <xf numFmtId="0" fontId="0" fillId="16" borderId="23" xfId="0" applyFill="1" applyBorder="1" applyAlignment="1">
      <alignment horizontal="left"/>
    </xf>
    <xf numFmtId="0" fontId="0" fillId="16" borderId="19" xfId="0" applyFill="1" applyBorder="1" applyAlignment="1">
      <alignment horizontal="left"/>
    </xf>
    <xf numFmtId="0" fontId="0" fillId="16" borderId="1" xfId="0" applyFill="1" applyBorder="1" applyAlignment="1">
      <alignment horizontal="left"/>
    </xf>
    <xf numFmtId="0" fontId="0" fillId="16" borderId="3" xfId="0" applyFill="1" applyBorder="1" applyAlignment="1">
      <alignment horizontal="left"/>
    </xf>
    <xf numFmtId="0" fontId="8" fillId="7" borderId="14" xfId="0" applyFont="1" applyFill="1" applyBorder="1" applyAlignment="1">
      <alignment horizontal="left"/>
    </xf>
    <xf numFmtId="0" fontId="8" fillId="7" borderId="15" xfId="0" applyFont="1" applyFill="1" applyBorder="1" applyAlignment="1">
      <alignment horizontal="left"/>
    </xf>
    <xf numFmtId="0" fontId="0" fillId="16" borderId="29" xfId="0" applyFill="1" applyBorder="1" applyAlignment="1">
      <alignment horizontal="left"/>
    </xf>
    <xf numFmtId="0" fontId="0" fillId="16" borderId="24" xfId="0" applyFill="1" applyBorder="1" applyAlignment="1">
      <alignment horizontal="left"/>
    </xf>
    <xf numFmtId="0" fontId="11" fillId="16" borderId="45" xfId="0" applyFont="1" applyFill="1" applyBorder="1" applyAlignment="1">
      <alignment horizontal="left"/>
    </xf>
    <xf numFmtId="0" fontId="11" fillId="16" borderId="0" xfId="0" applyFont="1" applyFill="1" applyBorder="1" applyAlignment="1">
      <alignment horizontal="left"/>
    </xf>
    <xf numFmtId="0" fontId="11" fillId="16" borderId="46" xfId="0" applyFont="1" applyFill="1" applyBorder="1" applyAlignment="1">
      <alignment horizontal="left"/>
    </xf>
    <xf numFmtId="0" fontId="11" fillId="13" borderId="54" xfId="0" applyFont="1" applyFill="1" applyBorder="1" applyAlignment="1">
      <alignment horizontal="left"/>
    </xf>
    <xf numFmtId="0" fontId="11" fillId="13" borderId="55" xfId="0" applyFont="1" applyFill="1" applyBorder="1" applyAlignment="1">
      <alignment horizontal="left"/>
    </xf>
    <xf numFmtId="0" fontId="11" fillId="13" borderId="56" xfId="0" applyFont="1" applyFill="1" applyBorder="1" applyAlignment="1">
      <alignment horizontal="left"/>
    </xf>
    <xf numFmtId="0" fontId="12" fillId="13" borderId="22" xfId="0" applyFont="1" applyFill="1" applyBorder="1" applyAlignment="1">
      <alignment horizontal="left"/>
    </xf>
    <xf numFmtId="0" fontId="12" fillId="13" borderId="16" xfId="0" applyFont="1" applyFill="1" applyBorder="1" applyAlignment="1">
      <alignment horizontal="left"/>
    </xf>
    <xf numFmtId="0" fontId="3" fillId="10" borderId="36" xfId="0" applyFont="1" applyFill="1" applyBorder="1" applyAlignment="1">
      <alignment horizontal="left" vertical="center"/>
    </xf>
    <xf numFmtId="0" fontId="3" fillId="10" borderId="37" xfId="0" applyFont="1" applyFill="1" applyBorder="1" applyAlignment="1">
      <alignment horizontal="left" vertical="center"/>
    </xf>
    <xf numFmtId="0" fontId="3" fillId="10" borderId="52" xfId="0" applyFont="1" applyFill="1" applyBorder="1" applyAlignment="1">
      <alignment horizontal="left" vertical="center"/>
    </xf>
    <xf numFmtId="0" fontId="12" fillId="13" borderId="29" xfId="0" applyFont="1" applyFill="1" applyBorder="1" applyAlignment="1">
      <alignment horizontal="left"/>
    </xf>
    <xf numFmtId="0" fontId="12" fillId="13" borderId="24" xfId="0" applyFont="1" applyFill="1" applyBorder="1" applyAlignment="1">
      <alignment horizontal="left"/>
    </xf>
    <xf numFmtId="0" fontId="8" fillId="8" borderId="4" xfId="0" applyFont="1" applyFill="1" applyBorder="1" applyAlignment="1" applyProtection="1">
      <alignment horizontal="left"/>
    </xf>
    <xf numFmtId="0" fontId="8" fillId="8" borderId="2" xfId="0" applyFont="1" applyFill="1" applyBorder="1" applyAlignment="1" applyProtection="1">
      <alignment horizontal="left"/>
    </xf>
    <xf numFmtId="0" fontId="8" fillId="8" borderId="3" xfId="0" applyFont="1" applyFill="1" applyBorder="1" applyAlignment="1" applyProtection="1">
      <alignment horizontal="left"/>
    </xf>
    <xf numFmtId="0" fontId="3" fillId="10" borderId="14" xfId="0" applyFont="1" applyFill="1" applyBorder="1" applyAlignment="1">
      <alignment horizontal="left" vertical="center"/>
    </xf>
    <xf numFmtId="0" fontId="3" fillId="10" borderId="15" xfId="0" applyFont="1" applyFill="1" applyBorder="1" applyAlignment="1">
      <alignment horizontal="left" vertical="center"/>
    </xf>
    <xf numFmtId="0" fontId="3" fillId="10" borderId="43" xfId="0" applyFont="1" applyFill="1" applyBorder="1" applyAlignment="1">
      <alignment horizontal="left" vertical="center"/>
    </xf>
    <xf numFmtId="0" fontId="0" fillId="14" borderId="1" xfId="0" applyFill="1" applyBorder="1" applyAlignment="1">
      <alignment horizontal="left"/>
    </xf>
    <xf numFmtId="0" fontId="0" fillId="14" borderId="2" xfId="0" applyFill="1" applyBorder="1" applyAlignment="1">
      <alignment horizontal="left"/>
    </xf>
    <xf numFmtId="0" fontId="0" fillId="14" borderId="3" xfId="0" applyFill="1" applyBorder="1" applyAlignment="1">
      <alignment horizontal="left"/>
    </xf>
    <xf numFmtId="0" fontId="0" fillId="14" borderId="6" xfId="0" applyFill="1" applyBorder="1" applyAlignment="1">
      <alignment horizontal="left"/>
    </xf>
    <xf numFmtId="0" fontId="0" fillId="14" borderId="7" xfId="0" applyFill="1" applyBorder="1" applyAlignment="1">
      <alignment horizontal="left"/>
    </xf>
    <xf numFmtId="0" fontId="0" fillId="14" borderId="8" xfId="0" applyFill="1" applyBorder="1" applyAlignment="1">
      <alignment horizontal="left"/>
    </xf>
    <xf numFmtId="0" fontId="10" fillId="17" borderId="21" xfId="0" applyFont="1" applyFill="1" applyBorder="1" applyAlignment="1" applyProtection="1">
      <alignment horizontal="left"/>
      <protection locked="0"/>
    </xf>
    <xf numFmtId="0" fontId="10" fillId="17" borderId="11" xfId="0" applyFont="1" applyFill="1" applyBorder="1" applyAlignment="1" applyProtection="1">
      <alignment horizontal="left"/>
      <protection locked="0"/>
    </xf>
    <xf numFmtId="0" fontId="10" fillId="17" borderId="12" xfId="0" applyFont="1" applyFill="1" applyBorder="1" applyAlignment="1" applyProtection="1">
      <alignment horizontal="left"/>
      <protection locked="0"/>
    </xf>
    <xf numFmtId="0" fontId="0" fillId="15" borderId="6" xfId="0" applyFill="1" applyBorder="1" applyAlignment="1">
      <alignment horizontal="left"/>
    </xf>
    <xf numFmtId="0" fontId="0" fillId="15" borderId="7" xfId="0" applyFill="1" applyBorder="1" applyAlignment="1">
      <alignment horizontal="left"/>
    </xf>
    <xf numFmtId="0" fontId="0" fillId="15" borderId="8" xfId="0" applyFill="1" applyBorder="1" applyAlignment="1">
      <alignment horizontal="left"/>
    </xf>
    <xf numFmtId="0" fontId="0" fillId="14" borderId="10" xfId="0" applyFill="1" applyBorder="1" applyAlignment="1">
      <alignment horizontal="left"/>
    </xf>
    <xf numFmtId="0" fontId="0" fillId="14" borderId="11" xfId="0" applyFill="1" applyBorder="1" applyAlignment="1">
      <alignment horizontal="left"/>
    </xf>
    <xf numFmtId="0" fontId="0" fillId="14" borderId="12" xfId="0" applyFill="1" applyBorder="1" applyAlignment="1">
      <alignment horizontal="left"/>
    </xf>
    <xf numFmtId="0" fontId="0" fillId="15" borderId="1" xfId="0" applyFill="1" applyBorder="1" applyAlignment="1">
      <alignment horizontal="left"/>
    </xf>
    <xf numFmtId="0" fontId="0" fillId="15" borderId="2" xfId="0" applyFill="1" applyBorder="1" applyAlignment="1">
      <alignment horizontal="left"/>
    </xf>
    <xf numFmtId="0" fontId="0" fillId="15" borderId="3" xfId="0" applyFill="1" applyBorder="1" applyAlignment="1">
      <alignment horizontal="left"/>
    </xf>
    <xf numFmtId="0" fontId="11" fillId="14" borderId="14" xfId="0" applyFont="1" applyFill="1" applyBorder="1" applyAlignment="1">
      <alignment horizontal="left"/>
    </xf>
    <xf numFmtId="0" fontId="11" fillId="14" borderId="15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11" borderId="14" xfId="0" applyFont="1" applyFill="1" applyBorder="1" applyAlignment="1">
      <alignment horizontal="center"/>
    </xf>
    <xf numFmtId="0" fontId="3" fillId="11" borderId="30" xfId="0" applyFont="1" applyFill="1" applyBorder="1" applyAlignment="1">
      <alignment horizontal="center"/>
    </xf>
    <xf numFmtId="0" fontId="3" fillId="11" borderId="26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horizontal="center" vertical="center"/>
    </xf>
    <xf numFmtId="0" fontId="3" fillId="11" borderId="28" xfId="0" applyFont="1" applyFill="1" applyBorder="1" applyAlignment="1">
      <alignment horizontal="center" vertical="center"/>
    </xf>
  </cellXfs>
  <cellStyles count="4">
    <cellStyle name="Link" xfId="3" builtinId="8"/>
    <cellStyle name="Schlecht" xfId="2" builtinId="27"/>
    <cellStyle name="Standard" xfId="0" builtinId="0"/>
    <cellStyle name="Überschrift" xfId="1" builtinId="15"/>
  </cellStyles>
  <dxfs count="339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alignment horizontal="general" textRotation="0" wrapText="0" indent="0" justifyLastLine="0" shrinkToFit="0" readingOrder="0"/>
    </dxf>
    <dxf>
      <alignment horizontal="general" textRotation="0" wrapText="0" indent="0" justifyLastLine="0" shrinkToFit="0" readingOrder="0"/>
    </dxf>
    <dxf>
      <alignment horizontal="general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general" textRotation="0" wrapText="0" indent="0" justifyLastLine="0" shrinkToFit="0" readingOrder="0"/>
    </dxf>
    <dxf>
      <alignment horizontal="general" textRotation="0" wrapText="0" indent="0" justifyLastLine="0" shrinkToFit="0" readingOrder="0"/>
    </dxf>
    <dxf>
      <alignment horizontal="general" textRotation="0" wrapText="0" indent="0" justifyLastLine="0" shrinkToFit="0" readingOrder="0"/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1327150</xdr:colOff>
          <xdr:row>2</xdr:row>
          <xdr:rowOff>152400</xdr:rowOff>
        </xdr:from>
        <xdr:to>
          <xdr:col>0</xdr:col>
          <xdr:colOff>4457700</xdr:colOff>
          <xdr:row>6</xdr:row>
          <xdr:rowOff>38100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Teilnehmer anlegen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919CD0C-2495-4E0F-8BC2-898B7EB18F89}" name="TBN_beide_8" displayName="TBN_beide_8" ref="A2:C11" totalsRowShown="0">
  <autoFilter ref="A2:C11" xr:uid="{218CF3CC-8DFF-4699-A78E-987A997FD09D}"/>
  <tableColumns count="3">
    <tableColumn id="1" xr3:uid="{89C32DB5-66F7-4D38-ABCA-46454A74DC1A}" name="Beschreibung"/>
    <tableColumn id="2" xr3:uid="{1DE72FA0-F6D6-4133-82E6-0622FB1E24F2}" name="Wert"/>
    <tableColumn id="3" xr3:uid="{242711CE-69C2-41C5-A43F-C5FEB9E73C86}" name="MaxAbzug" dataDxfId="334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9276A15-746E-451B-98E4-806BD4AF379C}" name="TN_beide_11" displayName="TN_beide_11" ref="E21:H32" totalsRowShown="0">
  <autoFilter ref="E21:H32" xr:uid="{69CC2F1F-29B1-406A-8643-481495E8F0ED}"/>
  <tableColumns count="4">
    <tableColumn id="1" xr3:uid="{FB35D1F8-71C2-4733-B791-1A1ECD07BC32}" name="Beschreibung"/>
    <tableColumn id="2" xr3:uid="{56F60055-B16E-441A-9D27-58DFA57FBFA9}" name="Kürzel"/>
    <tableColumn id="3" xr3:uid="{1EC06B99-E573-4327-B3C6-48C87B351958}" name="Wert"/>
    <tableColumn id="4" xr3:uid="{D2DF3EB9-F557-40D5-BD16-7A672BB9C5E4}" name="MaxAbzug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2A8CA9F2-83B2-4F22-AE19-F0429262D04E}" name="TN_weiblich_12_13" displayName="TN_weiblich_12_13" ref="E35:H42" totalsRowShown="0">
  <autoFilter ref="E35:H42" xr:uid="{9F34CAB0-88DD-4B47-BA3A-1FCBBFD66270}"/>
  <tableColumns count="4">
    <tableColumn id="1" xr3:uid="{31129B46-431D-4E88-8BB1-6C033C398CEA}" name="Beschreibung"/>
    <tableColumn id="2" xr3:uid="{DB855220-F8C0-4627-904F-3F64436FC301}" name="Kürzel"/>
    <tableColumn id="3" xr3:uid="{42343AAE-954E-4D86-B19E-7752DDAA0C11}" name="Wert"/>
    <tableColumn id="4" xr3:uid="{83A2CAD1-E602-4E47-B9DD-7771954B6DAC}" name="MaxAbzug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6EC628AD-BF4C-442C-A940-0EC01F293453}" name="TN_weiblich_14_15" displayName="TN_weiblich_14_15" ref="E45:H53" totalsRowShown="0">
  <autoFilter ref="E45:H53" xr:uid="{2A6C6221-085B-454D-A414-F57DE1671EFE}"/>
  <tableColumns count="4">
    <tableColumn id="1" xr3:uid="{0C932E0B-5619-4FE1-BEF9-57C05BE49125}" name="Beschreibung"/>
    <tableColumn id="2" xr3:uid="{F05DA7D7-8F3A-4E32-B9A7-7184BD86545F}" name="Kürzel"/>
    <tableColumn id="3" xr3:uid="{1A8CBA5A-314C-406A-B0D5-38D4A0D5F34F}" name="Wert"/>
    <tableColumn id="4" xr3:uid="{BB47CB4D-BC46-4FCF-B3DC-4C50D9F13398}" name="MaxAbzug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11F1782B-8F60-46BA-BB17-CC8E589091C0}" name="TN_weiblich_16_17" displayName="TN_weiblich_16_17" ref="E56:H66" totalsRowShown="0">
  <autoFilter ref="E56:H66" xr:uid="{A15346E1-B7CF-4954-8858-47D0F60A6FBC}"/>
  <tableColumns count="4">
    <tableColumn id="1" xr3:uid="{F0E52C3C-6C1D-44FD-A637-6DB3547A4924}" name="Beschreibung"/>
    <tableColumn id="2" xr3:uid="{816663AF-906D-4BDF-B025-7BDF2657BF69}" name="Kürzel"/>
    <tableColumn id="3" xr3:uid="{3FBA269A-E42A-48EB-B4B4-2EA4F24B22F8}" name="Wert"/>
    <tableColumn id="4" xr3:uid="{DA5370D4-3C27-4680-A8CD-F5D8A19D038F}" name="MaxAbzug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ED4E77C2-DD08-4B75-B8DC-4F49AE54772A}" name="BKÜ_9" displayName="BKÜ_9" ref="O2:Q14" totalsRowShown="0">
  <autoFilter ref="O2:Q14" xr:uid="{6CD05F65-A5B6-4D2D-B5F0-1D35969B6391}"/>
  <tableColumns count="3">
    <tableColumn id="1" xr3:uid="{37835986-FC9F-4F49-A2AC-19C9FD9208ED}" name="Element"/>
    <tableColumn id="2" xr3:uid="{7F3CF0DC-1CC0-4BFA-B08E-2C7F2F53D46A}" name="Beschreibung"/>
    <tableColumn id="3" xr3:uid="{CF759D38-74A4-4BF4-891B-B870CB85CC5D}" name="Wert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E8F2881C-9005-465C-B131-36661AB3BD05}" name="BKÜ_10_11" displayName="BKÜ_10_11" ref="O18:Q30" totalsRowShown="0">
  <autoFilter ref="O18:Q30" xr:uid="{3FC961C9-50F7-4C48-B7AF-D499729AD428}"/>
  <tableColumns count="3">
    <tableColumn id="1" xr3:uid="{29634D1C-D4B8-4117-B596-9B3D0C4E51EF}" name="Element"/>
    <tableColumn id="2" xr3:uid="{A5CCB19A-5E21-4C42-B5D1-0BA78F051385}" name="Beschreibung"/>
    <tableColumn id="3" xr3:uid="{F9E3F6C7-73D0-41B1-8D20-DABFB3A4EF88}" name="Wert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9A5EB08E-A5BD-40E9-8691-31156CDC225F}" name="BKÜ_12_13" displayName="BKÜ_12_13" ref="O34:Q46" totalsRowShown="0">
  <autoFilter ref="O34:Q46" xr:uid="{53453FC3-4238-48FE-A268-CD669F4FDB1A}"/>
  <tableColumns count="3">
    <tableColumn id="1" xr3:uid="{1915E6C7-D50A-4F7C-B7E8-74F89DB04106}" name="Element"/>
    <tableColumn id="2" xr3:uid="{0E78D1F7-CAAF-4DE5-8C49-2BE69AB88BDE}" name="Beschreibung"/>
    <tableColumn id="3" xr3:uid="{F0D74B11-6E90-4401-B01D-24486898BF01}" name="Wert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75D9A862-A65B-42EB-9949-9168BC7E70E9}" name="BKÜ_14_16" displayName="BKÜ_14_16" ref="O50:Q62" totalsRowShown="0">
  <autoFilter ref="O50:Q62" xr:uid="{928BA37A-848A-4BBF-9CC3-8D1C89C28244}"/>
  <tableColumns count="3">
    <tableColumn id="1" xr3:uid="{549EE6A6-F016-4598-BE18-F06876F8BCF6}" name="Element"/>
    <tableColumn id="2" xr3:uid="{92DE9CAD-5D9A-4474-A713-269758F2541E}" name="Beschreibung"/>
    <tableColumn id="3" xr3:uid="{8454AE50-0B1F-450D-A2F8-E85FF89429A2}" name="Wert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4A073BEC-EDBF-4C45-B797-ED4F5AAEFF7E}" name="BKÜ_17" displayName="BKÜ_17" ref="O66:Q78" totalsRowShown="0">
  <autoFilter ref="O66:Q78" xr:uid="{BAA0B762-D982-4FDE-845A-3CD20DDE1BC8}"/>
  <tableColumns count="3">
    <tableColumn id="1" xr3:uid="{5A8FA549-7652-4F36-A5B2-6F344EFA291D}" name="Element"/>
    <tableColumn id="2" xr3:uid="{B2093F73-8756-47D1-86A3-8AF776EBA8D7}" name="Beschreibung"/>
    <tableColumn id="3" xr3:uid="{B7F493EF-53F1-484A-A3A8-F5A435C31504}" name="Wert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4F84B44E-92A6-49B7-8ECA-5AA9D75E7E87}" name="TV_beide_11" displayName="TV_beide_11" ref="J2:M8" totalsRowShown="0" headerRowDxfId="323" dataDxfId="321" headerRowBorderDxfId="322" tableBorderDxfId="320" totalsRowBorderDxfId="319">
  <autoFilter ref="J2:M8" xr:uid="{5D7F37C3-EDEB-43F8-A05D-DB2BA02CBA3F}"/>
  <tableColumns count="4">
    <tableColumn id="1" xr3:uid="{745C19E5-72A6-4EC8-A465-F908FF8453BC}" name="Element" dataDxfId="318"/>
    <tableColumn id="2" xr3:uid="{B4326675-53E9-43BD-BF1E-2897D132CF6C}" name="Übung" dataDxfId="317"/>
    <tableColumn id="3" xr3:uid="{C8B61E75-287D-4CFC-AF63-BB079F292757}" name="Wert" dataDxfId="316"/>
    <tableColumn id="4" xr3:uid="{FE040009-E1B8-4EE1-9EF4-499D424E58CE}" name="MaxAbzug" dataDxfId="3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0E5FF7F-D4B3-442A-9F6A-86E04D2415C6}" name="TBN_beide_09_10" displayName="TBN_beide_09_10" ref="A14:C23" totalsRowShown="0">
  <autoFilter ref="A14:C23" xr:uid="{C2957D8F-B7AD-4264-8F2D-1F786495F897}"/>
  <tableColumns count="3">
    <tableColumn id="1" xr3:uid="{08BBD549-0605-4A72-BA8C-BC02253D7A51}" name="Beschreibung"/>
    <tableColumn id="2" xr3:uid="{D4CBB3FE-DD7C-4068-96EA-078CE27A8714}" name="Wert"/>
    <tableColumn id="3" xr3:uid="{953AEF92-7DA8-40EE-8CC9-FF0CEF411F64}" name="MaxAbzug" dataDxfId="333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158ED06B-B62B-4AB4-A4DA-8E2FCC87AC45}" name="TV_beide_12_13" displayName="TV_beide_12_13" ref="J11:M17" totalsRowShown="0" headerRowDxfId="314" dataDxfId="312" headerRowBorderDxfId="313" tableBorderDxfId="311" totalsRowBorderDxfId="310">
  <autoFilter ref="J11:M17" xr:uid="{836C2B01-200E-4ECE-B622-ABCC0FF69CFE}"/>
  <tableColumns count="4">
    <tableColumn id="1" xr3:uid="{A583BBF2-291C-48D1-8DD5-3ECB810415AC}" name="Element" dataDxfId="309"/>
    <tableColumn id="2" xr3:uid="{33E9DEB8-DB99-4D61-B879-C436AD6D74F7}" name="Übung" dataDxfId="308"/>
    <tableColumn id="3" xr3:uid="{0AADB0EE-C2B9-4C49-9DC4-62D3933395DC}" name="Wert" dataDxfId="307"/>
    <tableColumn id="4" xr3:uid="{A83F41FB-B15B-496C-A2D9-05EF66FE45C2}" name="MaxAbzug" dataDxfId="306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A9E2BFB5-4ACA-489D-9C00-5E3310F5C99B}" name="TV_beide_14_15" displayName="TV_beide_14_15" ref="J20:M26" totalsRowShown="0" headerRowDxfId="305" dataDxfId="303" headerRowBorderDxfId="304" tableBorderDxfId="302" totalsRowBorderDxfId="301">
  <autoFilter ref="J20:M26" xr:uid="{0B6ADFFA-010B-4442-9776-BDC3722FE4BE}"/>
  <tableColumns count="4">
    <tableColumn id="1" xr3:uid="{59974DDF-725A-4FC9-8862-2FA0A6B9A62C}" name="Element" dataDxfId="300"/>
    <tableColumn id="2" xr3:uid="{65945B79-28F0-42C3-9E82-FEE1BC4DB9B0}" name="Übung" dataDxfId="299"/>
    <tableColumn id="3" xr3:uid="{9239D8E0-CEF4-4CB5-9C2A-C669DA42C0AD}" name="Wert" dataDxfId="298"/>
    <tableColumn id="4" xr3:uid="{5C6C221D-4BE3-4A34-B69A-00A30747F139}" name="MaxAbzug" dataDxfId="297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A31A0232-813F-4751-803B-D48EC2E9CF8E}" name="TV_weiblich_16_17" displayName="TV_weiblich_16_17" ref="J29:M35" totalsRowShown="0">
  <autoFilter ref="J29:M35" xr:uid="{B86B8B72-C2B8-4C69-A1B3-F0013B73D559}"/>
  <tableColumns count="4">
    <tableColumn id="1" xr3:uid="{DB1762CE-77EB-4885-AAA0-45DC811CDEBC}" name="Element"/>
    <tableColumn id="2" xr3:uid="{3865D113-EB66-44C3-BFCE-6BB84968B032}" name="Übung"/>
    <tableColumn id="3" xr3:uid="{F0EFF9A1-3F83-4010-A5A2-8DB0EC08F49D}" name="Wert"/>
    <tableColumn id="4" xr3:uid="{12822B7F-84F5-472E-B326-800F4196AF83}" name="MaxAbzug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D473DFA-F1B2-4B8C-A4F7-344BF09BF067}" name="TV_weiblich_18" displayName="TV_weiblich_18" ref="J38:M44" totalsRowShown="0">
  <autoFilter ref="J38:M44" xr:uid="{989C8453-BC55-4428-8824-ADD263D4B761}"/>
  <tableColumns count="4">
    <tableColumn id="1" xr3:uid="{819E3296-D128-49F4-8644-FCE0BBAE2AEF}" name="Element"/>
    <tableColumn id="2" xr3:uid="{57ACB7E6-885D-423B-8709-C9342EEAAF0C}" name="Übung"/>
    <tableColumn id="3" xr3:uid="{2CC18245-8CAC-4724-8F50-69DE3CACA137}" name="Wert"/>
    <tableColumn id="4" xr3:uid="{1FB306CD-0A32-42CE-B35F-31533692340F}" name="MaxAbzug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2F634D8B-2BDC-4223-B50A-4BB042936AFE}" name="TV_männlich_16_17" displayName="TV_männlich_16_17" ref="J47:M53" totalsRowShown="0">
  <autoFilter ref="J47:M53" xr:uid="{E79349D3-CD7C-47DB-8FA1-379F4DBCEF76}"/>
  <tableColumns count="4">
    <tableColumn id="1" xr3:uid="{BCA98195-E469-4741-BD3E-00E179C6C173}" name="Element"/>
    <tableColumn id="2" xr3:uid="{2011F216-09F1-4848-B8A8-EDBBDD23F290}" name="Übung"/>
    <tableColumn id="3" xr3:uid="{CD0B725F-A7AB-48DA-812E-251D0BC57DBE}" name="Wert"/>
    <tableColumn id="4" xr3:uid="{4BFD3442-D61E-4265-9EF5-300951DB6A3D}" name="MaxAbzug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EA1C4FD8-DA1C-4965-BE68-BF2D432AEC00}" name="TV_männlich_18" displayName="TV_männlich_18" ref="J56:M62" totalsRowShown="0">
  <autoFilter ref="J56:M62" xr:uid="{14CE39AC-ABEB-4E70-9FC9-91B792894B46}"/>
  <tableColumns count="4">
    <tableColumn id="1" xr3:uid="{981C75CB-5B2F-4875-82FB-F224070DD19E}" name="Element"/>
    <tableColumn id="2" xr3:uid="{71C5D0B2-990D-4D34-BED8-829540F1925F}" name="Übung"/>
    <tableColumn id="3" xr3:uid="{5D66A6FF-65E7-427D-9302-330EC70A7291}" name="Wert"/>
    <tableColumn id="4" xr3:uid="{109C36C9-7C9C-48B1-8C32-B8AC28BA7A44}" name="MaxAbzug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C9D52544-8071-4F6E-92E3-D29D455E3CC9}" name="TN_weiblich_18" displayName="TN_weiblich_18" ref="E69:H81" totalsRowShown="0">
  <autoFilter ref="E69:H81" xr:uid="{410FAF4E-89EA-4AF1-ACDE-2B103C2FECF6}"/>
  <tableColumns count="4">
    <tableColumn id="1" xr3:uid="{D3090CD6-8865-480A-8106-790B22112D74}" name="Beschreibung"/>
    <tableColumn id="2" xr3:uid="{E633FAB6-4AC1-4F02-9AE5-627ACF9470DA}" name="Kürzel"/>
    <tableColumn id="3" xr3:uid="{94AAB145-E407-4033-9891-D5CFF9804616}" name="Wert"/>
    <tableColumn id="4" xr3:uid="{3239B3A8-4B77-402D-9EC3-7E7C69C23D83}" name="MaxAbzug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2CBF06D8-CA5E-4AA9-BC75-FABE05C4E45D}" name="TN_männlich_12_13" displayName="TN_männlich_12_13" ref="E84:H92" totalsRowShown="0">
  <autoFilter ref="E84:H92" xr:uid="{711EF47C-8CF3-4154-B9BC-2BD0C224C608}"/>
  <tableColumns count="4">
    <tableColumn id="1" xr3:uid="{CDED30A8-768D-4A5C-A7B8-BC761E011F7C}" name="Beschreibung"/>
    <tableColumn id="2" xr3:uid="{689F2C3E-69F6-487E-8730-C26F708B7205}" name="Kürzel"/>
    <tableColumn id="3" xr3:uid="{0D6C646B-7813-4E4B-B383-F19B8DC19B2C}" name="Wert"/>
    <tableColumn id="4" xr3:uid="{0AE42B81-944D-4BEC-A442-67C538F4BF50}" name="MaxAbzug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BF74A8A5-6785-4F3B-811C-C6821F1AF06A}" name="TN_männlich_14_15" displayName="TN_männlich_14_15" ref="E95:H104" totalsRowShown="0">
  <autoFilter ref="E95:H104" xr:uid="{6ADEB0CD-1B5E-471F-A493-134BE6A4CC99}"/>
  <tableColumns count="4">
    <tableColumn id="1" xr3:uid="{9975D19F-B62B-43C7-B640-FF3806786E4C}" name="Beschreibung"/>
    <tableColumn id="2" xr3:uid="{C5F0A152-C543-4D00-BDD6-8A95136BDDBC}" name="Kürzel"/>
    <tableColumn id="3" xr3:uid="{CCBEE0F6-69FD-4283-898F-3C481646716C}" name="Wert"/>
    <tableColumn id="4" xr3:uid="{489FE618-DBC3-4E67-8378-680070F33943}" name="MaxAbzug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C7ECE5F1-69BE-443B-AFE2-E5B83E03A6DD}" name="TN_männlich_16_17" displayName="TN_männlich_16_17" ref="E107:H118" totalsRowShown="0">
  <autoFilter ref="E107:H118" xr:uid="{049CEC38-08B4-4D82-9EAD-48BF8E4B5904}"/>
  <tableColumns count="4">
    <tableColumn id="1" xr3:uid="{A1068D77-EC39-42FC-9F6D-31D2D207E33B}" name="Beschreibung"/>
    <tableColumn id="2" xr3:uid="{08385DBB-8D37-40EC-A117-F3BD25F0A20C}" name="Kürzel"/>
    <tableColumn id="3" xr3:uid="{5191B827-42B4-4C44-BF23-A45D9429A3BC}" name="Wert"/>
    <tableColumn id="4" xr3:uid="{972D505B-90E9-4CF9-898D-9E9C2DE5430D}" name="MaxAbzug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B9A9895-05D3-4456-AC33-758C42C021F0}" name="TBN_beide_11" displayName="TBN_beide_11" ref="A26:C39" totalsRowShown="0">
  <autoFilter ref="A26:C39" xr:uid="{1F2C4BBE-032E-44DC-95FB-A589A4B0D76D}"/>
  <tableColumns count="3">
    <tableColumn id="1" xr3:uid="{559344D4-4FD2-4D15-970B-137AF9252A3D}" name="Beschreibung"/>
    <tableColumn id="2" xr3:uid="{1D26188C-FF87-4C28-B558-D047FAEEA9A1}" name="Wert"/>
    <tableColumn id="3" xr3:uid="{187B11A2-F670-441E-B062-3A95338FF107}" name="MaxAbzug" dataDxfId="332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4ACF33B6-C001-4F40-9B2E-219B0B60EA91}" name="TN_männlich_18" displayName="TN_männlich_18" ref="E121:H133" totalsRowShown="0">
  <autoFilter ref="E121:H133" xr:uid="{D3FC6EC2-97D7-47DB-A4EA-E79A1E6A1FB0}"/>
  <tableColumns count="4">
    <tableColumn id="1" xr3:uid="{62347AEE-DAD9-4193-B9F4-CC6BB426A5E9}" name="Beschreibung"/>
    <tableColumn id="2" xr3:uid="{6E25A241-A1EA-4850-9433-18243B388031}" name="Kürzel"/>
    <tableColumn id="3" xr3:uid="{5262BCF7-B2D6-45BD-A4CA-FAA765A98C8B}" name="Wert"/>
    <tableColumn id="4" xr3:uid="{D6ED7743-5456-49D5-B3E1-048D1A8FAAF6}" name="MaxAbzug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7310874-E2EB-43C0-8AB8-71C5FCADD1E6}" name="Pkte_Klimmzug" displayName="Pkte_Klimmzug" ref="A18:T49" totalsRowShown="0" headerRowDxfId="183" dataDxfId="182" tableBorderDxfId="181">
  <autoFilter ref="A18:T49" xr:uid="{27310874-E2EB-43C0-8AB8-71C5FCADD1E6}"/>
  <tableColumns count="20">
    <tableColumn id="1" xr3:uid="{235E862F-91E8-41F3-B273-A2C60F5A6C2D}" name="AK / Wiederholungen" dataDxfId="180"/>
    <tableColumn id="2" xr3:uid="{CB93BE48-3B15-4628-8DEC-D3D7DF5BEC87}" name="2" dataDxfId="179"/>
    <tableColumn id="3" xr3:uid="{DD4F8C6F-2BD4-49A0-B46C-6DD3AE1A453B}" name="3" dataDxfId="178"/>
    <tableColumn id="4" xr3:uid="{9FBE026F-6AB4-446C-9ED7-8B6FCD97B645}" name="4" dataDxfId="177"/>
    <tableColumn id="5" xr3:uid="{AAB580C9-FE71-4F05-A0BE-ADE24EEF795C}" name="5" dataDxfId="176"/>
    <tableColumn id="6" xr3:uid="{52E52C20-5906-4215-BF4B-80038CA057C2}" name="6" dataDxfId="175"/>
    <tableColumn id="7" xr3:uid="{157F8A66-6787-453E-981D-72C6018DA98B}" name="7" dataDxfId="174"/>
    <tableColumn id="8" xr3:uid="{40795613-B5C0-43F3-AAC0-99890E9637FA}" name="8" dataDxfId="173"/>
    <tableColumn id="9" xr3:uid="{BD1E1DA9-AC2E-4360-A473-6E2B46C3470B}" name="9" dataDxfId="172"/>
    <tableColumn id="10" xr3:uid="{FBC1EAAC-0C76-4BC8-90EC-0153A7EE8A90}" name="10" dataDxfId="171"/>
    <tableColumn id="11" xr3:uid="{671B75B4-41F3-469F-8124-A3F52832B672}" name="11" dataDxfId="170"/>
    <tableColumn id="12" xr3:uid="{C46E73C8-43B1-41F9-8E11-BBDAC20F3629}" name="12" dataDxfId="169"/>
    <tableColumn id="13" xr3:uid="{A11D4CAB-A9AF-4BB3-9172-370519A763A9}" name="13" dataDxfId="168"/>
    <tableColumn id="14" xr3:uid="{FBD22EE1-36A9-456F-9A25-4400E8FD05AA}" name="14" dataDxfId="167"/>
    <tableColumn id="15" xr3:uid="{453BE9C4-D978-43E5-9C51-F41E65150D67}" name="15" dataDxfId="166"/>
    <tableColumn id="16" xr3:uid="{BA2CAB86-D847-4177-98BC-7BA26E8701E9}" name="16" dataDxfId="165"/>
    <tableColumn id="17" xr3:uid="{C6617567-2431-40E1-85E5-E30E3B4E3CED}" name="17" dataDxfId="164"/>
    <tableColumn id="18" xr3:uid="{AF2240F1-DF4F-4D28-9820-92F1BA5BFE03}" name="18" dataDxfId="163"/>
    <tableColumn id="19" xr3:uid="{1B64002F-D60C-4847-A55B-D2D107C9863B}" name="19" dataDxfId="162"/>
    <tableColumn id="20" xr3:uid="{D0705687-E989-4254-92AF-2BC52A74A8E2}" name="20" dataDxfId="161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818B693-6270-44CD-AA65-16290EB88106}" name="Pkte_Beinheben" displayName="Pkte_Beinheben" ref="A52:T65" totalsRowShown="0" headerRowDxfId="160" dataDxfId="159" tableBorderDxfId="158">
  <autoFilter ref="A52:T65" xr:uid="{D818B693-6270-44CD-AA65-16290EB88106}"/>
  <tableColumns count="20">
    <tableColumn id="1" xr3:uid="{CA49B74A-B682-4C21-BE65-B50E267BBB47}" name="AK / Wiederholungen" dataDxfId="157"/>
    <tableColumn id="2" xr3:uid="{68F2262F-B3A6-47E1-A20B-2F504007A76A}" name="2" dataDxfId="156"/>
    <tableColumn id="3" xr3:uid="{0FD6458D-F2D2-4502-BC8B-82931E5937A9}" name="3" dataDxfId="155"/>
    <tableColumn id="4" xr3:uid="{C2BE5A8E-7722-4139-8384-C792C89D1F7E}" name="4" dataDxfId="154"/>
    <tableColumn id="5" xr3:uid="{1E74D7D0-0AE4-45EF-A277-639085C535ED}" name="5" dataDxfId="153"/>
    <tableColumn id="6" xr3:uid="{0BCF0411-D959-4CD6-9343-51303F8F747F}" name="6" dataDxfId="152"/>
    <tableColumn id="7" xr3:uid="{480BED7A-540C-44BA-87C4-35640C736984}" name="7" dataDxfId="151"/>
    <tableColumn id="8" xr3:uid="{F2B85905-4BAE-44C7-BE4E-592110C10379}" name="8" dataDxfId="150"/>
    <tableColumn id="9" xr3:uid="{46D5A4B1-6E2D-4A8F-99E3-7D439C081FBC}" name="9" dataDxfId="149"/>
    <tableColumn id="10" xr3:uid="{C0FC191C-215A-48CC-8E56-3AD7BE4A4B54}" name="10" dataDxfId="148"/>
    <tableColumn id="11" xr3:uid="{3144A301-2A94-4102-BCC7-5386331A0382}" name="11" dataDxfId="147"/>
    <tableColumn id="12" xr3:uid="{167641F3-B73F-44DE-B854-165DE122FA42}" name="12" dataDxfId="146"/>
    <tableColumn id="13" xr3:uid="{CFE15923-66EA-4448-9DB1-BF6480F42A81}" name="13" dataDxfId="145"/>
    <tableColumn id="14" xr3:uid="{1F8C1027-9E61-4345-8197-9C48E7D9431D}" name="14" dataDxfId="144"/>
    <tableColumn id="15" xr3:uid="{02825F5C-F828-4F2D-89DB-8D26A0E3F773}" name="15" dataDxfId="143"/>
    <tableColumn id="16" xr3:uid="{7D81DF15-16E0-469E-ABB0-D49796CAF1AC}" name="16" dataDxfId="142"/>
    <tableColumn id="17" xr3:uid="{039760B2-8AA6-40D3-8492-06401C8C2BC8}" name="17" dataDxfId="141"/>
    <tableColumn id="18" xr3:uid="{71BAC51F-C353-4DA1-946B-075BD84CC497}" name="18" dataDxfId="140"/>
    <tableColumn id="19" xr3:uid="{6AC93B4F-6FC1-4523-A106-56BA9C1FC1EA}" name="19" dataDxfId="139"/>
    <tableColumn id="20" xr3:uid="{B7475205-62A1-46ED-A6AD-1B24F49B495F}" name="20" dataDxfId="138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6837CFC-1F8E-44A5-88E0-B1AFD45169F1}" name="Pkte_Flieger" displayName="Pkte_Flieger" ref="A68:T93" totalsRowShown="0" headerRowDxfId="137" dataDxfId="136" tableBorderDxfId="135">
  <autoFilter ref="A68:T93" xr:uid="{D6837CFC-1F8E-44A5-88E0-B1AFD45169F1}"/>
  <tableColumns count="20">
    <tableColumn id="1" xr3:uid="{71A43781-86E8-4A6F-A8C5-BE2DD95FDAE1}" name="AK / Wiederholungen" dataDxfId="134"/>
    <tableColumn id="2" xr3:uid="{2849D2E3-6EBC-4058-9973-6995A95173A9}" name="2" dataDxfId="133"/>
    <tableColumn id="3" xr3:uid="{532B7F63-9662-4E7F-B633-010EC9EEAD78}" name="3" dataDxfId="132"/>
    <tableColumn id="4" xr3:uid="{8F1607D1-9452-48C5-8930-EF7E25E31E9F}" name="4" dataDxfId="131"/>
    <tableColumn id="5" xr3:uid="{64AADCAE-5AC2-4902-AE14-D4279FB73F87}" name="5" dataDxfId="130"/>
    <tableColumn id="6" xr3:uid="{C984D617-47A6-46D7-894D-4889F541ED6C}" name="6" dataDxfId="129"/>
    <tableColumn id="7" xr3:uid="{D341836B-9F37-4659-905E-64FE445B6595}" name="7" dataDxfId="128"/>
    <tableColumn id="8" xr3:uid="{5F5FE1FB-E0BF-490C-99F8-ABC24218BDCD}" name="8" dataDxfId="127"/>
    <tableColumn id="9" xr3:uid="{FCC25323-D464-44D6-BC43-6E7AA922481F}" name="9" dataDxfId="126"/>
    <tableColumn id="10" xr3:uid="{2ED34E5C-1A94-48B2-B6E5-823E6F8B4E19}" name="10" dataDxfId="125"/>
    <tableColumn id="11" xr3:uid="{2143BBF4-0C09-4E62-A179-F7C8CC84781B}" name="11" dataDxfId="124"/>
    <tableColumn id="12" xr3:uid="{3655661F-2DEA-4A62-B960-EAA74A38D011}" name="12" dataDxfId="123"/>
    <tableColumn id="13" xr3:uid="{CC97C130-88B6-4650-83CE-A28528AB71BE}" name="13" dataDxfId="122"/>
    <tableColumn id="14" xr3:uid="{EAF60670-E507-469B-B29F-20BFF9C52030}" name="14" dataDxfId="121"/>
    <tableColumn id="15" xr3:uid="{69149BBE-C9F6-48D3-BECA-745F003A30CA}" name="15" dataDxfId="120"/>
    <tableColumn id="16" xr3:uid="{A463CF62-1B28-4920-86C9-4ADDF58977CC}" name="16" dataDxfId="119"/>
    <tableColumn id="17" xr3:uid="{2E6B900D-515C-4B68-B235-73665BEC8A09}" name="17" dataDxfId="118"/>
    <tableColumn id="18" xr3:uid="{67432276-5748-4FC8-B2F8-0A7A769B1871}" name="18" dataDxfId="117"/>
    <tableColumn id="19" xr3:uid="{099F015B-B839-4B94-B80E-4E02FED20CCF}" name="19" dataDxfId="116"/>
    <tableColumn id="20" xr3:uid="{6D55FB3B-3455-4F16-830C-684158E8DEB9}" name="20" dataDxfId="115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2F46268-D562-4B36-ADCA-884807F048FF}" name="Pkte_Rollenverbindung" displayName="Pkte_Rollenverbindung" ref="A96:T127" totalsRowShown="0" headerRowDxfId="114" dataDxfId="113" tableBorderDxfId="112">
  <autoFilter ref="A96:T127" xr:uid="{12F46268-D562-4B36-ADCA-884807F048FF}"/>
  <tableColumns count="20">
    <tableColumn id="1" xr3:uid="{917360DF-A446-44BE-A317-34A83CF90E8D}" name="AK / Wiederholungen" dataDxfId="111"/>
    <tableColumn id="2" xr3:uid="{4F8A43FB-EEB4-4CAD-865E-7E5461E17247}" name="2" dataDxfId="110"/>
    <tableColumn id="3" xr3:uid="{12EFE76C-4EB2-434D-A8C2-8EE23E17C1A0}" name="3" dataDxfId="109"/>
    <tableColumn id="4" xr3:uid="{56BD5C44-D702-45B6-826E-93A947EAC9A2}" name="4" dataDxfId="108"/>
    <tableColumn id="5" xr3:uid="{E9991014-4C84-4ED6-86B8-CE5164275057}" name="5" dataDxfId="107"/>
    <tableColumn id="6" xr3:uid="{5A3250FA-B118-4169-9893-8914603A252C}" name="6" dataDxfId="106"/>
    <tableColumn id="7" xr3:uid="{F01B2A10-6370-482B-9FB7-D444C5E2909F}" name="7" dataDxfId="105"/>
    <tableColumn id="8" xr3:uid="{04E94FEF-451B-4B47-AEA9-087790C650C2}" name="8" dataDxfId="104"/>
    <tableColumn id="9" xr3:uid="{ABDA3423-E5B0-427E-A726-C94FF35EE5E7}" name="9" dataDxfId="103"/>
    <tableColumn id="10" xr3:uid="{62E18898-AD2C-416E-BDA0-8AE5BDFE28B8}" name="10" dataDxfId="102"/>
    <tableColumn id="11" xr3:uid="{69087108-0487-4C6E-AEB5-F8B853484DE5}" name="11" dataDxfId="101"/>
    <tableColumn id="12" xr3:uid="{F783D88B-30F4-4A33-AC75-2B824030786F}" name="12" dataDxfId="100"/>
    <tableColumn id="13" xr3:uid="{E0E60532-F75F-463A-8DD2-9D8C7A7FB7B4}" name="13" dataDxfId="99"/>
    <tableColumn id="14" xr3:uid="{618DAEC3-54D5-43D6-9963-21E442C0595D}" name="14" dataDxfId="98"/>
    <tableColumn id="15" xr3:uid="{A0997EB7-C106-47D1-956E-DFA8F5D8FE4A}" name="15" dataDxfId="97"/>
    <tableColumn id="16" xr3:uid="{80088B20-2324-4BC5-8381-C40CD820EB68}" name="16" dataDxfId="96"/>
    <tableColumn id="17" xr3:uid="{C695FDAD-D82A-4DB2-9F2B-507F5C2D6ED8}" name="17" dataDxfId="95"/>
    <tableColumn id="18" xr3:uid="{528CC367-E81C-4397-9F33-579F9D98374B}" name="18" dataDxfId="94"/>
    <tableColumn id="19" xr3:uid="{E54BBE00-602C-4EE6-8553-31145656B94A}" name="19" dataDxfId="93"/>
    <tableColumn id="20" xr3:uid="{438A739C-7E34-48A1-AD8C-6B8A87B2CCCF}" name="20" dataDxfId="92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40F51D01-AF94-42A0-BE43-0D1881BD4C41}" name="Pkte_Prellsprung" displayName="Pkte_Prellsprung" ref="A130:T171" totalsRowShown="0" headerRowDxfId="91" dataDxfId="90" tableBorderDxfId="89">
  <autoFilter ref="A130:T171" xr:uid="{40F51D01-AF94-42A0-BE43-0D1881BD4C41}"/>
  <tableColumns count="20">
    <tableColumn id="1" xr3:uid="{1F2A2078-D021-4B53-A5BD-60573E416EC7}" name="AK / Wiederholungen" dataDxfId="88"/>
    <tableColumn id="2" xr3:uid="{D97A4FBB-2B6E-446D-877C-C37A7AE12EA4}" name="2" dataDxfId="87"/>
    <tableColumn id="3" xr3:uid="{A11DC64C-2E39-4074-8393-C9A4B19B553F}" name="3" dataDxfId="86"/>
    <tableColumn id="4" xr3:uid="{A2D885CA-89CD-4BBE-A448-5599506EBCA2}" name="4" dataDxfId="85"/>
    <tableColumn id="5" xr3:uid="{3DAF9066-9E2C-4D82-8ED0-FB68A2748251}" name="5" dataDxfId="84"/>
    <tableColumn id="6" xr3:uid="{543C1CE8-6CF0-49DF-A4E3-4B0A0B28862E}" name="6" dataDxfId="83"/>
    <tableColumn id="7" xr3:uid="{5764D4D5-0F2F-4225-860B-958013CB99E8}" name="7" dataDxfId="82"/>
    <tableColumn id="8" xr3:uid="{ABDEBB84-9CE8-4F9D-98BC-7E2C8D6546A6}" name="8" dataDxfId="81"/>
    <tableColumn id="9" xr3:uid="{32D204AE-C5CB-4D7A-B7BD-C933DB4D887B}" name="9" dataDxfId="80"/>
    <tableColumn id="10" xr3:uid="{7323BC58-D5DC-44F9-A4CE-40CD5FC8F103}" name="10" dataDxfId="79"/>
    <tableColumn id="11" xr3:uid="{52644616-E873-4868-9F16-6B9D7DC81C99}" name="11" dataDxfId="78"/>
    <tableColumn id="12" xr3:uid="{03D2FDC6-DB64-42DA-9BED-37CC5EA7C277}" name="12" dataDxfId="77"/>
    <tableColumn id="13" xr3:uid="{5C155939-CB5A-42E2-95E2-35AC7BB8AFCF}" name="13" dataDxfId="76"/>
    <tableColumn id="14" xr3:uid="{D511AD8A-740E-45D9-B630-FAFD5EFFE77B}" name="14" dataDxfId="75"/>
    <tableColumn id="15" xr3:uid="{6CB52867-3EDC-4C09-9572-2DF9D5710D46}" name="15" dataDxfId="74"/>
    <tableColumn id="16" xr3:uid="{02AB7AFB-B583-4B9F-8181-53CAF272591E}" name="16" dataDxfId="73"/>
    <tableColumn id="17" xr3:uid="{D5F9D1DD-6DD4-44C9-BE50-DE6F9B5EA3CF}" name="17" dataDxfId="72"/>
    <tableColumn id="18" xr3:uid="{6DD6F433-DB0B-487F-BA6F-5173FFA7D033}" name="18" dataDxfId="71"/>
    <tableColumn id="19" xr3:uid="{5EA31523-E5DD-4889-BA94-C9703085FAFB}" name="19" dataDxfId="70"/>
    <tableColumn id="20" xr3:uid="{8B041ACD-62A7-4F62-B32C-E2CC8D819476}" name="20" dataDxfId="69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E9CF6355-70B9-4539-827F-BFD9EFF64983}" name="Pkte_Handstand" displayName="Pkte_Handstand" ref="A174:T187" totalsRowShown="0" headerRowDxfId="68" dataDxfId="67" tableBorderDxfId="66">
  <autoFilter ref="A174:T187" xr:uid="{E9CF6355-70B9-4539-827F-BFD9EFF64983}"/>
  <tableColumns count="20">
    <tableColumn id="1" xr3:uid="{85503E46-BFF8-4AA5-8DF6-A4872D9CF9F7}" name="AK / sec." dataDxfId="65"/>
    <tableColumn id="2" xr3:uid="{49732548-34CE-4E7E-B7CA-FB00FED4F525}" name="2" dataDxfId="64"/>
    <tableColumn id="3" xr3:uid="{3B50FB39-76E0-45AF-9EDE-250E652DF26F}" name="3" dataDxfId="63"/>
    <tableColumn id="4" xr3:uid="{E07E28D8-E8C6-453E-852C-69CDC270EEB6}" name="4" dataDxfId="62"/>
    <tableColumn id="5" xr3:uid="{9024E865-5DF1-4338-A1CB-2233E8B22B46}" name="5" dataDxfId="61"/>
    <tableColumn id="6" xr3:uid="{7C6D8514-5E71-4203-A802-7E442CBB48B7}" name="6" dataDxfId="60"/>
    <tableColumn id="7" xr3:uid="{87FE0B3A-755B-4CCB-9675-3B6D1F5794BC}" name="7" dataDxfId="59"/>
    <tableColumn id="8" xr3:uid="{908521F0-BB21-48B4-821A-F96DCE3A442B}" name="8" dataDxfId="58"/>
    <tableColumn id="9" xr3:uid="{3233C897-33E9-486A-B202-5C52F52FD79C}" name="9" dataDxfId="57"/>
    <tableColumn id="10" xr3:uid="{5E701443-C018-4254-8F31-D1B68D3FAF82}" name="10" dataDxfId="56"/>
    <tableColumn id="11" xr3:uid="{BD62C8DE-E131-4E0C-8223-2D153F558881}" name="11" dataDxfId="55"/>
    <tableColumn id="12" xr3:uid="{F4F2C5B9-E988-4AB5-82BB-158BF2B30BE0}" name="12" dataDxfId="54"/>
    <tableColumn id="13" xr3:uid="{0AA8F0B5-CE35-4DF0-8249-AC91D039F4D4}" name="13" dataDxfId="53"/>
    <tableColumn id="14" xr3:uid="{E2E904BA-229E-4A5F-849D-D21DC068FC14}" name="14" dataDxfId="52"/>
    <tableColumn id="15" xr3:uid="{9EB6BC9A-21A7-41A8-BE1F-4004E0892611}" name="15" dataDxfId="51"/>
    <tableColumn id="16" xr3:uid="{9952865A-0B7E-4311-A8F2-D5CEE8B6B747}" name="16" dataDxfId="50"/>
    <tableColumn id="17" xr3:uid="{FAED3163-74E9-4DF8-8807-E99DF1899713}" name="17" dataDxfId="49"/>
    <tableColumn id="18" xr3:uid="{C7278EC2-523B-4864-A41D-5BE72607D343}" name="18" dataDxfId="48"/>
    <tableColumn id="19" xr3:uid="{43F2D6C1-EC34-4EA8-946B-B022FD5F3CA9}" name="19" dataDxfId="47"/>
    <tableColumn id="20" xr3:uid="{5B32FF9A-9323-4342-B56B-584967E2C4AF}" name="20" dataDxfId="46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9DC056FB-710F-4B7D-A7EE-8B7F84268DA5}" name="Pkte_Shuttle_W" displayName="Pkte_Shuttle_W" ref="A190:T212" totalsRowShown="0" headerRowDxfId="45" dataDxfId="44" tableBorderDxfId="43">
  <autoFilter ref="A190:T212" xr:uid="{9DC056FB-710F-4B7D-A7EE-8B7F84268DA5}"/>
  <tableColumns count="20">
    <tableColumn id="1" xr3:uid="{2D9ED228-5559-40D1-BA08-B9A5CA3B9298}" name="Shuttle" dataDxfId="42"/>
    <tableColumn id="2" xr3:uid="{22555ACF-15D1-4933-A6CA-0CE66F048529}" name="2" dataDxfId="41"/>
    <tableColumn id="3" xr3:uid="{9C996B8B-665D-410B-A282-940FD143D558}" name="3" dataDxfId="40"/>
    <tableColumn id="4" xr3:uid="{9806DB07-8B0F-4696-B0F6-4B54BDDCDEBA}" name="4" dataDxfId="39"/>
    <tableColumn id="5" xr3:uid="{1E4E9748-633F-4C0D-9B15-B6A93F1B314F}" name="5" dataDxfId="38"/>
    <tableColumn id="6" xr3:uid="{0E67AA3B-AFA3-4B9C-8EF4-FFACB1B20374}" name="6" dataDxfId="37"/>
    <tableColumn id="7" xr3:uid="{945C471D-9C09-495B-B2CC-387F0769603D}" name="7" dataDxfId="36"/>
    <tableColumn id="8" xr3:uid="{055F586C-581C-4A1E-82F6-4DFA90F1AFDB}" name="8" dataDxfId="35"/>
    <tableColumn id="9" xr3:uid="{FE7B333F-BE3A-47F0-9571-8757CD4130A1}" name="9" dataDxfId="34"/>
    <tableColumn id="10" xr3:uid="{5C4B37A2-8AAB-431B-B796-25903CF36694}" name="10" dataDxfId="33"/>
    <tableColumn id="11" xr3:uid="{EBB5C65F-DB63-4979-BBE0-AB13A39EF031}" name="11" dataDxfId="32"/>
    <tableColumn id="12" xr3:uid="{E8B166E4-2F4F-4290-9C6C-8FE7100A5BD5}" name="12" dataDxfId="31"/>
    <tableColumn id="13" xr3:uid="{5B76D13A-74B8-4CE7-BA27-6C3AE73C6767}" name="13" dataDxfId="30"/>
    <tableColumn id="14" xr3:uid="{77642DD3-25F3-4D40-952C-3930F23E6013}" name="14" dataDxfId="29"/>
    <tableColumn id="15" xr3:uid="{9E65CE2D-6198-4F0A-8435-8C7F6EC0F0D8}" name="15" dataDxfId="28"/>
    <tableColumn id="16" xr3:uid="{D5F0E669-0BF1-4C60-AE38-4B4391F7631B}" name="16" dataDxfId="27"/>
    <tableColumn id="17" xr3:uid="{FF2DD36C-8BAB-4434-91A8-0D0A48616418}" name="17" dataDxfId="26"/>
    <tableColumn id="18" xr3:uid="{AB0A966E-314B-48E0-A4A4-C65ACDAC2B88}" name="18" dataDxfId="25"/>
    <tableColumn id="19" xr3:uid="{0D6D7E92-8A2F-442B-BB12-27EDB1556C79}" name="19" dataDxfId="24"/>
    <tableColumn id="20" xr3:uid="{ADB91FFC-D945-4C59-A78C-3E12A6ECC5AF}" name="20" dataDxfId="23"/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2759053C-BC30-4865-9618-6BA9D5557CDD}" name="Pkte_Shuttle_M" displayName="Pkte_Shuttle_M" ref="A215:T237" totalsRowShown="0" headerRowDxfId="22" dataDxfId="21" tableBorderDxfId="20">
  <autoFilter ref="A215:T237" xr:uid="{2759053C-BC30-4865-9618-6BA9D5557CDD}"/>
  <tableColumns count="20">
    <tableColumn id="1" xr3:uid="{7CA7AE7F-3353-40F8-97C0-47CE2FD3F186}" name="Shuttle" dataDxfId="19"/>
    <tableColumn id="2" xr3:uid="{6F40AEAF-AE96-4104-9486-D788229CD750}" name="2" dataDxfId="18"/>
    <tableColumn id="3" xr3:uid="{CF997349-0FF8-4137-ADB0-242FCF3AB6FB}" name="3" dataDxfId="17"/>
    <tableColumn id="4" xr3:uid="{3B55A333-ACF3-48E4-8D64-89371EE8BCAF}" name="4" dataDxfId="16"/>
    <tableColumn id="5" xr3:uid="{53882FED-FD3B-4DC4-A7B3-91E73F8CE077}" name="5" dataDxfId="15"/>
    <tableColumn id="6" xr3:uid="{761D492F-374A-43BA-A111-B6209693337D}" name="6" dataDxfId="14"/>
    <tableColumn id="7" xr3:uid="{4FF97E55-B2EF-4D35-B55D-1F5651CBE51D}" name="7" dataDxfId="13"/>
    <tableColumn id="8" xr3:uid="{8D978278-8384-4C76-AE2D-4CD01AB70D42}" name="8" dataDxfId="12"/>
    <tableColumn id="9" xr3:uid="{4ADDFFCF-1565-4742-B6CC-305572989693}" name="9" dataDxfId="11"/>
    <tableColumn id="10" xr3:uid="{BAE0E336-5C28-4B98-BA0A-2B2FB3384B8D}" name="10" dataDxfId="10"/>
    <tableColumn id="11" xr3:uid="{09A7F79A-3B68-4C1B-8E4F-A53BA716FBBA}" name="11" dataDxfId="9"/>
    <tableColumn id="12" xr3:uid="{F4558663-F3E4-4C40-A43E-32331DEAEF29}" name="12" dataDxfId="8"/>
    <tableColumn id="13" xr3:uid="{9F77F2CE-21AE-4A3E-B760-405B8172A826}" name="13" dataDxfId="7"/>
    <tableColumn id="14" xr3:uid="{7473E0AB-6603-4C52-889C-5CAB961DE41F}" name="14" dataDxfId="6"/>
    <tableColumn id="15" xr3:uid="{86F30060-6D06-47AD-9D46-7186F9BD3354}" name="15" dataDxfId="5"/>
    <tableColumn id="16" xr3:uid="{EB509FC5-6858-43F7-B46A-12BEDC2D03A0}" name="16" dataDxfId="4"/>
    <tableColumn id="17" xr3:uid="{C90F877C-EC00-4B19-B0F6-7654B63F2532}" name="17" dataDxfId="3"/>
    <tableColumn id="18" xr3:uid="{303F247E-D47B-4D60-9207-9C4683BFE219}" name="18" dataDxfId="2"/>
    <tableColumn id="19" xr3:uid="{025958C9-F7A0-4FE1-9AAE-141B06F00C19}" name="19" dataDxfId="1"/>
    <tableColumn id="20" xr3:uid="{34EE2426-989E-4B98-892B-39ABEEFDFE16}" name="20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8EA5639-A6D4-4F6C-B04B-B53B50CCDB80}" name="TBN_weiblich_12_13" displayName="TBN_weiblich_12_13" ref="A42:C49" totalsRowShown="0" headerRowDxfId="331" dataDxfId="330">
  <autoFilter ref="A42:C49" xr:uid="{300390B6-1E5D-4611-A1DA-9E001A48635E}"/>
  <tableColumns count="3">
    <tableColumn id="1" xr3:uid="{D9493AA5-0D49-460A-9E00-A686EC95AFA9}" name="Beschreibung" dataDxfId="329"/>
    <tableColumn id="2" xr3:uid="{16901334-981D-4108-8449-5E5C54AABA79}" name="Wert" dataDxfId="328"/>
    <tableColumn id="3" xr3:uid="{7124D75B-D52C-4B68-95F9-3ED882A6EC1C}" name="MaxAbzug" dataDxfId="32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6708859-E74B-4288-A2CF-4DF9E8BC9FC6}" name="TBN_weiblich_14_15" displayName="TBN_weiblich_14_15" ref="A51:C56" totalsRowShown="0">
  <autoFilter ref="A51:C56" xr:uid="{ABA7C3EC-53AC-43F2-8065-386CE8A1606C}"/>
  <tableColumns count="3">
    <tableColumn id="1" xr3:uid="{5A19F5C5-00E8-489A-B4FC-686C95321363}" name="Beschreibung"/>
    <tableColumn id="2" xr3:uid="{008C8B21-7D0A-449E-8657-20EE4857DEE8}" name="Wert"/>
    <tableColumn id="3" xr3:uid="{0829C5B2-4ADF-4B43-ABBD-525360D6A042}" name="MaxAbzug" dataDxfId="32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9D23E29-6443-4CF1-A253-2276646513EB}" name="TBN_männlich_12_13" displayName="TBN_männlich_12_13" ref="A58:C65" totalsRowShown="0">
  <autoFilter ref="A58:C65" xr:uid="{7DA76D9B-40B7-494C-9417-EFCF8B7A24CC}"/>
  <tableColumns count="3">
    <tableColumn id="1" xr3:uid="{21B19809-9090-4F6B-99DE-21B0FF096C93}" name="Beschreibung"/>
    <tableColumn id="2" xr3:uid="{8BAEBD8E-6C83-440B-B0C1-10FEAEA99087}" name="Wert"/>
    <tableColumn id="3" xr3:uid="{60B1BCC8-5B2D-4300-B7EF-1F2477ADF5EB}" name="MaxAbzug" dataDxfId="32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16AEADF-E68E-4FA5-B3DF-087B82EF57EB}" name="TBN_männlich_14_15" displayName="TBN_männlich_14_15" ref="A68:C72" totalsRowShown="0">
  <autoFilter ref="A68:C72" xr:uid="{75AD951C-A2BD-437D-A31C-E49681FD9916}"/>
  <tableColumns count="3">
    <tableColumn id="1" xr3:uid="{B400BBD8-005C-4000-B05A-555F77450CF4}" name="Beschreibung"/>
    <tableColumn id="2" xr3:uid="{BD672D9D-681C-4153-B010-32BC20C1674C}" name="Wert"/>
    <tableColumn id="3" xr3:uid="{60C122D7-58EE-4364-BF6D-6939FE59754D}" name="MaxAbzug" dataDxfId="32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AE6769F-4CD7-4917-8AE9-3DA0934BF4D9}" name="TN_beide_8" displayName="TN_beide_8" ref="E2:H8" totalsRowShown="0">
  <autoFilter ref="E2:H8" xr:uid="{3CADAB89-8380-4EE7-A156-DAC159559535}"/>
  <tableColumns count="4">
    <tableColumn id="1" xr3:uid="{C8FCCD9C-C8EA-49B1-9A4C-008F7B6463D9}" name="Beschreibung"/>
    <tableColumn id="2" xr3:uid="{1D58CB3F-4C0D-455B-9A43-CE78D4C0854E}" name="Kürzel"/>
    <tableColumn id="3" xr3:uid="{FABC5806-A9BC-473B-87E0-F9E2683861AA}" name="Wert"/>
    <tableColumn id="4" xr3:uid="{CBCB4D42-E5A8-4CD1-A399-80EDF791101D}" name="MaxAbzug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42AC3C2-F019-4D5D-AF59-5A0118FA048A}" name="TN_beide_9_10" displayName="TN_beide_9_10" ref="E11:H18" totalsRowShown="0">
  <autoFilter ref="E11:H18" xr:uid="{26755D67-469E-46E7-BA99-EBB851317BA1}"/>
  <tableColumns count="4">
    <tableColumn id="1" xr3:uid="{BAAC49D4-2FCE-49C6-98B0-1C0FD77BF5BC}" name="Beschreibung"/>
    <tableColumn id="2" xr3:uid="{35DC3F5E-82D8-479E-A0B7-6D1D267FAA68}" name="Kürzel"/>
    <tableColumn id="3" xr3:uid="{263036FA-9235-45C5-8D8B-D194D9E8AD85}" name="Wert"/>
    <tableColumn id="4" xr3:uid="{03556EF0-A662-470D-8A5D-FA3A06AFDD13}" name="MaxAbzu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rbinian.hauck@web.de?subject=Kadertest-B&#246;gen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8.xml"/><Relationship Id="rId3" Type="http://schemas.openxmlformats.org/officeDocument/2006/relationships/table" Target="../tables/table33.xml"/><Relationship Id="rId7" Type="http://schemas.openxmlformats.org/officeDocument/2006/relationships/table" Target="../tables/table37.xml"/><Relationship Id="rId2" Type="http://schemas.openxmlformats.org/officeDocument/2006/relationships/table" Target="../tables/table32.xml"/><Relationship Id="rId1" Type="http://schemas.openxmlformats.org/officeDocument/2006/relationships/table" Target="../tables/table31.xml"/><Relationship Id="rId6" Type="http://schemas.openxmlformats.org/officeDocument/2006/relationships/table" Target="../tables/table36.xml"/><Relationship Id="rId5" Type="http://schemas.openxmlformats.org/officeDocument/2006/relationships/table" Target="../tables/table35.xml"/><Relationship Id="rId4" Type="http://schemas.openxmlformats.org/officeDocument/2006/relationships/table" Target="../tables/table3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>
    <tabColor rgb="FFFF0000"/>
  </sheetPr>
  <dimension ref="A1:A20"/>
  <sheetViews>
    <sheetView workbookViewId="0">
      <selection activeCell="A9" sqref="A9"/>
    </sheetView>
  </sheetViews>
  <sheetFormatPr baseColWidth="10" defaultColWidth="0" defaultRowHeight="14.5" zeroHeight="1" x14ac:dyDescent="0.35"/>
  <cols>
    <col min="1" max="1" width="99.453125" bestFit="1" customWidth="1"/>
    <col min="2" max="16384" width="11.453125" hidden="1"/>
  </cols>
  <sheetData>
    <row r="1" spans="1:1" ht="23.5" x14ac:dyDescent="0.55000000000000004">
      <c r="A1" s="10" t="s">
        <v>233</v>
      </c>
    </row>
    <row r="2" spans="1:1" x14ac:dyDescent="0.35">
      <c r="A2" s="12" t="s">
        <v>307</v>
      </c>
    </row>
    <row r="3" spans="1:1" x14ac:dyDescent="0.35"/>
    <row r="4" spans="1:1" x14ac:dyDescent="0.35"/>
    <row r="5" spans="1:1" x14ac:dyDescent="0.35"/>
    <row r="6" spans="1:1" x14ac:dyDescent="0.35"/>
    <row r="7" spans="1:1" x14ac:dyDescent="0.35"/>
    <row r="8" spans="1:1" x14ac:dyDescent="0.35"/>
    <row r="9" spans="1:1" x14ac:dyDescent="0.35">
      <c r="A9" s="109" t="s">
        <v>278</v>
      </c>
    </row>
    <row r="10" spans="1:1" x14ac:dyDescent="0.35">
      <c r="A10" s="117" t="s">
        <v>277</v>
      </c>
    </row>
    <row r="11" spans="1:1" x14ac:dyDescent="0.35"/>
    <row r="12" spans="1:1" ht="43.5" x14ac:dyDescent="0.35">
      <c r="A12" s="13" t="s">
        <v>82</v>
      </c>
    </row>
    <row r="13" spans="1:1" x14ac:dyDescent="0.35"/>
    <row r="14" spans="1:1" ht="43.5" x14ac:dyDescent="0.35">
      <c r="A14" s="13" t="s">
        <v>231</v>
      </c>
    </row>
    <row r="15" spans="1:1" x14ac:dyDescent="0.35"/>
    <row r="16" spans="1:1" ht="29" x14ac:dyDescent="0.35">
      <c r="A16" s="13" t="s">
        <v>83</v>
      </c>
    </row>
    <row r="17" spans="1:1" x14ac:dyDescent="0.35"/>
    <row r="18" spans="1:1" ht="43.5" x14ac:dyDescent="0.35">
      <c r="A18" s="13" t="s">
        <v>84</v>
      </c>
    </row>
    <row r="19" spans="1:1" x14ac:dyDescent="0.35"/>
    <row r="20" spans="1:1" x14ac:dyDescent="0.35">
      <c r="A20" s="11" t="s">
        <v>310</v>
      </c>
    </row>
  </sheetData>
  <dataValidations count="1">
    <dataValidation type="list" allowBlank="1" showInputMessage="1" showErrorMessage="1" sqref="A10" xr:uid="{00390935-648E-4330-92AD-62AAA0B944E1}">
      <formula1>"Druckmessplatte,Lichtschranke"</formula1>
    </dataValidation>
  </dataValidations>
  <hyperlinks>
    <hyperlink ref="A20" r:id="rId1" display="© Korbinian Hauck, 13.07.2015" xr:uid="{00000000-0004-0000-0000-000000000000}"/>
  </hyperlinks>
  <pageMargins left="0.7" right="0.7" top="0.78740157499999996" bottom="0.78740157499999996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5" name="Button 1">
              <controlPr defaultSize="0" print="0" autoFill="0" autoPict="0" macro="[0]!NeuerTeilnehmer">
                <anchor moveWithCells="1" sizeWithCells="1">
                  <from>
                    <xdr:col>0</xdr:col>
                    <xdr:colOff>1327150</xdr:colOff>
                    <xdr:row>2</xdr:row>
                    <xdr:rowOff>152400</xdr:rowOff>
                  </from>
                  <to>
                    <xdr:col>0</xdr:col>
                    <xdr:colOff>4457700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664E3-D38B-47E1-9DC1-5B92FCBE9129}">
  <sheetPr codeName="Tabelle31">
    <tabColor indexed="44"/>
    <pageSetUpPr fitToPage="1"/>
  </sheetPr>
  <dimension ref="A1:J70"/>
  <sheetViews>
    <sheetView zoomScale="85" zoomScaleNormal="85" workbookViewId="0">
      <pane ySplit="2" topLeftCell="A10" activePane="bottomLeft" state="frozen"/>
      <selection sqref="A1:H1"/>
      <selection pane="bottomLeft" activeCell="F20" sqref="F20"/>
    </sheetView>
  </sheetViews>
  <sheetFormatPr baseColWidth="10" defaultColWidth="0" defaultRowHeight="14.5" zeroHeight="1" outlineLevelRow="1" x14ac:dyDescent="0.35"/>
  <cols>
    <col min="1" max="1" width="11.453125" customWidth="1"/>
    <col min="2" max="2" width="12.1796875" customWidth="1"/>
    <col min="3" max="3" width="44.81640625" bestFit="1" customWidth="1"/>
    <col min="4" max="5" width="11.453125" style="154" customWidth="1"/>
    <col min="6" max="6" width="16.1796875" style="154" bestFit="1" customWidth="1"/>
    <col min="7" max="7" width="13.81640625" style="154" customWidth="1"/>
    <col min="8" max="8" width="11.453125" customWidth="1"/>
    <col min="9" max="9" width="6.1796875" style="23" hidden="1" customWidth="1"/>
    <col min="10" max="10" width="0" hidden="1" customWidth="1"/>
    <col min="11" max="16384" width="11.453125" hidden="1"/>
  </cols>
  <sheetData>
    <row r="1" spans="1:8" ht="15.5" x14ac:dyDescent="0.35">
      <c r="A1" s="16" t="s">
        <v>1</v>
      </c>
      <c r="B1" s="186" t="s">
        <v>392</v>
      </c>
      <c r="C1" s="187"/>
      <c r="D1" s="187"/>
      <c r="E1" s="188"/>
      <c r="F1" s="51" t="s">
        <v>96</v>
      </c>
      <c r="G1" s="61" t="s">
        <v>24</v>
      </c>
      <c r="H1" s="63">
        <v>2004</v>
      </c>
    </row>
    <row r="2" spans="1:8" ht="16" thickBot="1" x14ac:dyDescent="0.4">
      <c r="A2" s="17" t="s">
        <v>4</v>
      </c>
      <c r="B2" s="198" t="s">
        <v>390</v>
      </c>
      <c r="C2" s="199"/>
      <c r="D2" s="199"/>
      <c r="E2" s="199"/>
      <c r="F2" s="200"/>
      <c r="G2" s="62" t="s">
        <v>3</v>
      </c>
      <c r="H2" s="64">
        <f>2022-H1</f>
        <v>18</v>
      </c>
    </row>
    <row r="3" spans="1:8" ht="15" outlineLevel="1" thickBot="1" x14ac:dyDescent="0.4">
      <c r="A3" s="189" t="s">
        <v>26</v>
      </c>
      <c r="B3" s="190"/>
      <c r="C3" s="190"/>
      <c r="D3" s="190"/>
      <c r="E3" s="191"/>
      <c r="F3" s="46" t="s">
        <v>27</v>
      </c>
      <c r="G3" s="47" t="s">
        <v>28</v>
      </c>
      <c r="H3" s="22" t="s">
        <v>234</v>
      </c>
    </row>
    <row r="4" spans="1:8" outlineLevel="1" x14ac:dyDescent="0.35">
      <c r="A4" s="192" t="s">
        <v>30</v>
      </c>
      <c r="B4" s="193"/>
      <c r="C4" s="193"/>
      <c r="D4" s="193"/>
      <c r="E4" s="194"/>
      <c r="F4" s="25">
        <v>10</v>
      </c>
      <c r="G4" s="55" t="s">
        <v>32</v>
      </c>
      <c r="H4" s="34">
        <f>F4</f>
        <v>10</v>
      </c>
    </row>
    <row r="5" spans="1:8" outlineLevel="1" x14ac:dyDescent="0.35">
      <c r="A5" s="195" t="s">
        <v>85</v>
      </c>
      <c r="B5" s="196"/>
      <c r="C5" s="196"/>
      <c r="D5" s="196"/>
      <c r="E5" s="197"/>
      <c r="F5" s="14">
        <v>6</v>
      </c>
      <c r="G5" s="56" t="s">
        <v>32</v>
      </c>
      <c r="H5" s="35">
        <f>F5</f>
        <v>6</v>
      </c>
    </row>
    <row r="6" spans="1:8" outlineLevel="1" x14ac:dyDescent="0.35">
      <c r="A6" s="195" t="s">
        <v>33</v>
      </c>
      <c r="B6" s="196"/>
      <c r="C6" s="196"/>
      <c r="D6" s="196"/>
      <c r="E6" s="197"/>
      <c r="F6" s="14">
        <v>20</v>
      </c>
      <c r="G6" s="56" t="s">
        <v>31</v>
      </c>
      <c r="H6" s="35">
        <f>IF(F6="",0,VLOOKUP(F6,Punktetabellen!A10:B15,2,1))</f>
        <v>10</v>
      </c>
    </row>
    <row r="7" spans="1:8" outlineLevel="1" x14ac:dyDescent="0.35">
      <c r="A7" s="195" t="s">
        <v>34</v>
      </c>
      <c r="B7" s="196"/>
      <c r="C7" s="196"/>
      <c r="D7" s="196"/>
      <c r="E7" s="197"/>
      <c r="F7" s="14">
        <v>0</v>
      </c>
      <c r="G7" s="56" t="s">
        <v>31</v>
      </c>
      <c r="H7" s="35">
        <f>IF(F7="",0,VLOOKUP(F7,Punktetabellen!A3:B6,2,0))</f>
        <v>5</v>
      </c>
    </row>
    <row r="8" spans="1:8" ht="15" outlineLevel="1" thickBot="1" x14ac:dyDescent="0.4">
      <c r="A8" s="204" t="s">
        <v>35</v>
      </c>
      <c r="B8" s="205"/>
      <c r="C8" s="205"/>
      <c r="D8" s="205"/>
      <c r="E8" s="206"/>
      <c r="F8" s="41">
        <v>0</v>
      </c>
      <c r="G8" s="57" t="s">
        <v>31</v>
      </c>
      <c r="H8" s="36">
        <f>IF(F8="",0,VLOOKUP(F8,Punktetabellen!A3:B6,2,0))</f>
        <v>5</v>
      </c>
    </row>
    <row r="9" spans="1:8" ht="15" thickBot="1" x14ac:dyDescent="0.4">
      <c r="A9" s="210" t="s">
        <v>36</v>
      </c>
      <c r="B9" s="211"/>
      <c r="C9" s="211"/>
      <c r="D9" s="211"/>
      <c r="E9" s="211"/>
      <c r="F9" s="211"/>
      <c r="G9" s="211"/>
      <c r="H9" s="48">
        <f>SUM(H4:H8)</f>
        <v>36</v>
      </c>
    </row>
    <row r="10" spans="1:8" ht="15" outlineLevel="1" thickBot="1" x14ac:dyDescent="0.4">
      <c r="A10" s="189" t="s">
        <v>26</v>
      </c>
      <c r="B10" s="190"/>
      <c r="C10" s="190"/>
      <c r="D10" s="190"/>
      <c r="E10" s="191"/>
      <c r="F10" s="46" t="s">
        <v>27</v>
      </c>
      <c r="G10" s="47" t="s">
        <v>28</v>
      </c>
      <c r="H10" s="22" t="s">
        <v>234</v>
      </c>
    </row>
    <row r="11" spans="1:8" outlineLevel="1" x14ac:dyDescent="0.35">
      <c r="A11" s="207" t="s">
        <v>37</v>
      </c>
      <c r="B11" s="208"/>
      <c r="C11" s="208"/>
      <c r="D11" s="208"/>
      <c r="E11" s="209"/>
      <c r="F11" s="26">
        <v>15</v>
      </c>
      <c r="G11" s="58" t="s">
        <v>31</v>
      </c>
      <c r="H11" s="37">
        <f>IF($F11="",0,VLOOKUP($F11,Pkte_Klimmzug[],$H$2,1))</f>
        <v>10</v>
      </c>
    </row>
    <row r="12" spans="1:8" outlineLevel="1" x14ac:dyDescent="0.35">
      <c r="A12" s="201" t="s">
        <v>38</v>
      </c>
      <c r="B12" s="202"/>
      <c r="C12" s="202"/>
      <c r="D12" s="202"/>
      <c r="E12" s="203"/>
      <c r="F12" s="27">
        <v>12</v>
      </c>
      <c r="G12" s="59" t="s">
        <v>31</v>
      </c>
      <c r="H12" s="38">
        <f>IF($F12="",0,VLOOKUP($F12,Pkte_Beinheben[],$H$2,1))</f>
        <v>10</v>
      </c>
    </row>
    <row r="13" spans="1:8" outlineLevel="1" x14ac:dyDescent="0.35">
      <c r="A13" s="201" t="s">
        <v>88</v>
      </c>
      <c r="B13" s="202"/>
      <c r="C13" s="202"/>
      <c r="D13" s="202"/>
      <c r="E13" s="203"/>
      <c r="F13" s="27">
        <v>80</v>
      </c>
      <c r="G13" s="59" t="s">
        <v>31</v>
      </c>
      <c r="H13" s="38">
        <f>IF($F13="",0,VLOOKUP($F13,Pkte_Flieger[],$H$2,1))</f>
        <v>4</v>
      </c>
    </row>
    <row r="14" spans="1:8" outlineLevel="1" x14ac:dyDescent="0.35">
      <c r="A14" s="201" t="s">
        <v>39</v>
      </c>
      <c r="B14" s="202"/>
      <c r="C14" s="202"/>
      <c r="D14" s="202"/>
      <c r="E14" s="203"/>
      <c r="F14" s="27">
        <v>29</v>
      </c>
      <c r="G14" s="59" t="s">
        <v>31</v>
      </c>
      <c r="H14" s="38">
        <f>IF($F14="",0,VLOOKUP($F14,Pkte_Rollenverbindung[],$H$2,1))</f>
        <v>10</v>
      </c>
    </row>
    <row r="15" spans="1:8" outlineLevel="1" x14ac:dyDescent="0.35">
      <c r="A15" s="201" t="s">
        <v>89</v>
      </c>
      <c r="B15" s="202"/>
      <c r="C15" s="202"/>
      <c r="D15" s="202"/>
      <c r="E15" s="203"/>
      <c r="F15" s="27">
        <v>10</v>
      </c>
      <c r="G15" s="59" t="s">
        <v>31</v>
      </c>
      <c r="H15" s="38">
        <f>IF($F15="",0,VLOOKUP($F15,Pkte_Prellsprung[],$H$2,1))</f>
        <v>10</v>
      </c>
    </row>
    <row r="16" spans="1:8" outlineLevel="1" x14ac:dyDescent="0.35">
      <c r="A16" s="201" t="s">
        <v>90</v>
      </c>
      <c r="B16" s="202"/>
      <c r="C16" s="202"/>
      <c r="D16" s="202"/>
      <c r="E16" s="203"/>
      <c r="F16" s="28">
        <v>30</v>
      </c>
      <c r="G16" s="59" t="s">
        <v>31</v>
      </c>
      <c r="H16" s="38">
        <f>IF($F16="",0,VLOOKUP($F16,Pkte_Handstand[],$H$2,1))</f>
        <v>10</v>
      </c>
    </row>
    <row r="17" spans="1:8" ht="15" outlineLevel="1" thickBot="1" x14ac:dyDescent="0.4">
      <c r="A17" s="112" t="s">
        <v>93</v>
      </c>
      <c r="B17" s="113"/>
      <c r="C17" s="114" t="s">
        <v>269</v>
      </c>
      <c r="D17" s="29">
        <v>12</v>
      </c>
      <c r="E17" s="115" t="s">
        <v>270</v>
      </c>
      <c r="F17" s="29">
        <v>1</v>
      </c>
      <c r="G17" s="60" t="s">
        <v>31</v>
      </c>
      <c r="H17" s="39">
        <f>IF($F17="",0,IF($F$1="weiblich",VLOOKUP((100*$D17+$F17),Pkte_Shuttle_W[],$H$2,1),VLOOKUP((100*$D17+$F17),Pkte_Shuttle_M[],$H$2,1)))</f>
        <v>7</v>
      </c>
    </row>
    <row r="18" spans="1:8" ht="15" thickBot="1" x14ac:dyDescent="0.4">
      <c r="A18" s="161" t="s">
        <v>40</v>
      </c>
      <c r="B18" s="162"/>
      <c r="C18" s="162"/>
      <c r="D18" s="162"/>
      <c r="E18" s="162"/>
      <c r="F18" s="162"/>
      <c r="G18" s="162"/>
      <c r="H18" s="48">
        <f>SUM(H11:H17)</f>
        <v>61</v>
      </c>
    </row>
    <row r="19" spans="1:8" ht="15" outlineLevel="1" thickBot="1" x14ac:dyDescent="0.4">
      <c r="A19" s="159" t="s">
        <v>26</v>
      </c>
      <c r="B19" s="160"/>
      <c r="C19" s="160"/>
      <c r="D19" s="85" t="s">
        <v>235</v>
      </c>
      <c r="E19" s="85" t="s">
        <v>238</v>
      </c>
      <c r="F19" s="85" t="s">
        <v>236</v>
      </c>
      <c r="G19" s="86" t="s">
        <v>28</v>
      </c>
      <c r="H19" s="49" t="s">
        <v>234</v>
      </c>
    </row>
    <row r="20" spans="1:8" outlineLevel="1" x14ac:dyDescent="0.35">
      <c r="A20" s="167" t="s">
        <v>148</v>
      </c>
      <c r="B20" s="168"/>
      <c r="C20" s="116" t="s">
        <v>277</v>
      </c>
      <c r="D20" s="90">
        <f>IF(F1="männlich",VLOOKUP(H2,Standsprünge!A3:C15,3,0),VLOOKUP(H2,Standsprünge!A3:B15,2,0))+IF(C20="Druckmessplatte",0)</f>
        <v>17.5</v>
      </c>
      <c r="E20" s="90"/>
      <c r="F20" s="67">
        <v>18.079999999999998</v>
      </c>
      <c r="G20" s="91" t="s">
        <v>149</v>
      </c>
      <c r="H20" s="88">
        <f>IF(F20="",0,(F20-D20)*10)</f>
        <v>5.7999999999999829</v>
      </c>
    </row>
    <row r="21" spans="1:8" outlineLevel="1" x14ac:dyDescent="0.35">
      <c r="A21" s="165" t="str">
        <f>IF(H2&gt;15,"entfällt","TBN")</f>
        <v>entfällt</v>
      </c>
      <c r="B21" s="166"/>
      <c r="C21" s="77"/>
      <c r="D21" s="78" t="str">
        <f ca="1">IF(C21="","",VLOOKUP(C21,INDIRECT($C$57),2,0))</f>
        <v/>
      </c>
      <c r="E21" s="78" t="str">
        <f ca="1">IF(C21="","",VLOOKUP(C21,INDIRECT($C$57),3,0))</f>
        <v/>
      </c>
      <c r="F21" s="42"/>
      <c r="G21" s="71" t="str">
        <f>IF(H2&gt;16,"entfällt","Wert - Abzug")</f>
        <v>entfällt</v>
      </c>
      <c r="H21" s="66">
        <f>IF(A21="entfällt",0,IF(F21="",0,D21-F21))</f>
        <v>0</v>
      </c>
    </row>
    <row r="22" spans="1:8" outlineLevel="1" x14ac:dyDescent="0.35">
      <c r="A22" s="165" t="str">
        <f>IF(H2&gt;15,"entfällt","TBN")</f>
        <v>entfällt</v>
      </c>
      <c r="B22" s="166"/>
      <c r="C22" s="77"/>
      <c r="D22" s="78" t="str">
        <f ca="1">IF(C22="","",VLOOKUP(C22,INDIRECT($C$57),2,0))</f>
        <v/>
      </c>
      <c r="E22" s="78" t="str">
        <f ca="1">IF(C22="","",VLOOKUP(C22,INDIRECT($C$57),3,0))</f>
        <v/>
      </c>
      <c r="F22" s="42"/>
      <c r="G22" s="71" t="str">
        <f>IF(H2&gt;16,"entfällt","Wert - Abzug")</f>
        <v>entfällt</v>
      </c>
      <c r="H22" s="66">
        <f t="shared" ref="H22:H28" si="0">IF(A22="entfällt",0,IF(F22="",0,D22-F22))</f>
        <v>0</v>
      </c>
    </row>
    <row r="23" spans="1:8" outlineLevel="1" x14ac:dyDescent="0.35">
      <c r="A23" s="165" t="str">
        <f>IF(H2&gt;11,"entfällt","TBN")</f>
        <v>entfällt</v>
      </c>
      <c r="B23" s="166"/>
      <c r="C23" s="77"/>
      <c r="D23" s="78" t="str">
        <f ca="1">IF(C23="","",VLOOKUP(C23,INDIRECT($C$57),2,0))</f>
        <v/>
      </c>
      <c r="E23" s="78" t="str">
        <f ca="1">IF(C23="","",VLOOKUP(C23,INDIRECT($C$57),3,0))</f>
        <v/>
      </c>
      <c r="F23" s="42"/>
      <c r="G23" s="71" t="str">
        <f>IF(H2&gt;16,"entfällt","Wert - Abzug")</f>
        <v>entfällt</v>
      </c>
      <c r="H23" s="66">
        <f t="shared" si="0"/>
        <v>0</v>
      </c>
    </row>
    <row r="24" spans="1:8" outlineLevel="1" x14ac:dyDescent="0.35">
      <c r="A24" s="110" t="s">
        <v>147</v>
      </c>
      <c r="B24" s="111"/>
      <c r="C24" s="77" t="s">
        <v>75</v>
      </c>
      <c r="D24" s="78">
        <v>18</v>
      </c>
      <c r="E24" s="78">
        <v>6</v>
      </c>
      <c r="F24" s="42">
        <v>2</v>
      </c>
      <c r="G24" s="71" t="s">
        <v>146</v>
      </c>
      <c r="H24" s="66">
        <f t="shared" si="0"/>
        <v>16</v>
      </c>
    </row>
    <row r="25" spans="1:8" outlineLevel="1" x14ac:dyDescent="0.35">
      <c r="A25" s="110" t="s">
        <v>147</v>
      </c>
      <c r="B25" s="111"/>
      <c r="C25" s="77" t="s">
        <v>74</v>
      </c>
      <c r="D25" s="78">
        <v>20</v>
      </c>
      <c r="E25" s="78">
        <v>6</v>
      </c>
      <c r="F25" s="42">
        <v>4</v>
      </c>
      <c r="G25" s="71" t="s">
        <v>146</v>
      </c>
      <c r="H25" s="66">
        <f t="shared" si="0"/>
        <v>16</v>
      </c>
    </row>
    <row r="26" spans="1:8" outlineLevel="1" x14ac:dyDescent="0.35">
      <c r="A26" s="110" t="s">
        <v>147</v>
      </c>
      <c r="B26" s="111"/>
      <c r="C26" s="77" t="s">
        <v>73</v>
      </c>
      <c r="D26" s="78">
        <v>17</v>
      </c>
      <c r="E26" s="78">
        <v>6</v>
      </c>
      <c r="F26" s="42">
        <v>4</v>
      </c>
      <c r="G26" s="71" t="s">
        <v>146</v>
      </c>
      <c r="H26" s="66">
        <f t="shared" si="0"/>
        <v>13</v>
      </c>
    </row>
    <row r="27" spans="1:8" outlineLevel="1" x14ac:dyDescent="0.35">
      <c r="A27" s="110" t="str">
        <f>IF(H2&gt;11,"TN","entfällt")</f>
        <v>TN</v>
      </c>
      <c r="B27" s="111"/>
      <c r="C27" s="77" t="s">
        <v>70</v>
      </c>
      <c r="D27" s="78">
        <v>17</v>
      </c>
      <c r="E27" s="78">
        <v>6</v>
      </c>
      <c r="F27" s="42">
        <v>2</v>
      </c>
      <c r="G27" s="71" t="str">
        <f>IF(H2&gt;12,"Wert - Abzug","entfällt")</f>
        <v>Wert - Abzug</v>
      </c>
      <c r="H27" s="66">
        <f t="shared" si="0"/>
        <v>15</v>
      </c>
    </row>
    <row r="28" spans="1:8" outlineLevel="1" x14ac:dyDescent="0.35">
      <c r="A28" s="110" t="str">
        <f>IF(H2&gt;15,"TN","entfällt")</f>
        <v>TN</v>
      </c>
      <c r="B28" s="111"/>
      <c r="C28" s="77" t="s">
        <v>64</v>
      </c>
      <c r="D28" s="78">
        <v>15</v>
      </c>
      <c r="E28" s="78">
        <v>6</v>
      </c>
      <c r="F28" s="42">
        <v>2</v>
      </c>
      <c r="G28" s="71" t="str">
        <f>IF(H2&gt;16,"Wert - Abzug","entfällt")</f>
        <v>Wert - Abzug</v>
      </c>
      <c r="H28" s="66">
        <f t="shared" si="0"/>
        <v>13</v>
      </c>
    </row>
    <row r="29" spans="1:8" outlineLevel="1" x14ac:dyDescent="0.35">
      <c r="A29" s="110" t="str">
        <f>IF(H2&gt;15,"TN","entfällt")</f>
        <v>TN</v>
      </c>
      <c r="B29" s="111"/>
      <c r="C29" s="77" t="s">
        <v>72</v>
      </c>
      <c r="D29" s="78">
        <v>18</v>
      </c>
      <c r="E29" s="78">
        <v>6</v>
      </c>
      <c r="F29" s="42">
        <v>4</v>
      </c>
      <c r="G29" s="71" t="str">
        <f>IF(H2&gt;16,"Wert - Abzug","entfällt")</f>
        <v>Wert - Abzug</v>
      </c>
      <c r="H29" s="66">
        <f>IF(A29="entfällt",0,IF(F29="",0,D29-F29))</f>
        <v>14</v>
      </c>
    </row>
    <row r="30" spans="1:8" outlineLevel="1" x14ac:dyDescent="0.35">
      <c r="A30" s="165" t="str">
        <f>IF($H$2&gt;10,"Verbindung Sprung 1","entfällt")</f>
        <v>Verbindung Sprung 1</v>
      </c>
      <c r="B30" s="166"/>
      <c r="C30" s="40" t="str">
        <f ca="1">IF(A30&lt;&gt;"entfällt",VLOOKUP(1,INDIRECT($C$68),2,0),"")</f>
        <v>12001&lt;</v>
      </c>
      <c r="D30" s="40">
        <f ca="1">IF(A30&lt;&gt;"entfällt",VLOOKUP(1,INDIRECT($C$68),3,0),"")</f>
        <v>20</v>
      </c>
      <c r="E30" s="40">
        <f ca="1">IF(A30&lt;&gt;"entfällt",VLOOKUP(1,INDIRECT($C$68),4,0),"")</f>
        <v>3</v>
      </c>
      <c r="F30" s="42">
        <v>2</v>
      </c>
      <c r="G30" s="71" t="str">
        <f>IF(H2&gt;12,"Wert - Abzug","entfällt")</f>
        <v>Wert - Abzug</v>
      </c>
      <c r="H30" s="66"/>
    </row>
    <row r="31" spans="1:8" outlineLevel="1" x14ac:dyDescent="0.35">
      <c r="A31" s="165" t="str">
        <f>IF($H$2&gt;10,"Verbindung Sprung 2","entfällt")</f>
        <v>Verbindung Sprung 2</v>
      </c>
      <c r="B31" s="166"/>
      <c r="C31" s="40" t="str">
        <f ca="1">IF(A31&lt;&gt;"entfällt",VLOOKUP(2,INDIRECT($C$68),2,0),"")</f>
        <v>40&lt;</v>
      </c>
      <c r="D31" s="40">
        <f ca="1">IF(A31&lt;&gt;"entfällt",VLOOKUP(2,INDIRECT($C$68),3,0),"")</f>
        <v>6</v>
      </c>
      <c r="E31" s="40">
        <f ca="1">IF(A31&lt;&gt;"entfällt",VLOOKUP(2,INDIRECT($C$68),4,0),"")</f>
        <v>3</v>
      </c>
      <c r="F31" s="42">
        <v>2</v>
      </c>
      <c r="G31" s="71" t="str">
        <f>IF(H2&gt;12,"Wert - Abzug","entfällt")</f>
        <v>Wert - Abzug</v>
      </c>
      <c r="H31" s="66"/>
    </row>
    <row r="32" spans="1:8" outlineLevel="1" x14ac:dyDescent="0.35">
      <c r="A32" s="165" t="str">
        <f>IF($H$2&gt;10,"Verbindung Sprung 3","entfällt")</f>
        <v>Verbindung Sprung 3</v>
      </c>
      <c r="B32" s="166"/>
      <c r="C32" s="40" t="str">
        <f ca="1">IF(A32&lt;&gt;"entfällt",VLOOKUP(3,INDIRECT($C$68),2,0),"")</f>
        <v>12001°</v>
      </c>
      <c r="D32" s="40">
        <f ca="1">IF(A32&lt;&gt;"entfällt",VLOOKUP(3,INDIRECT($C$68),3,0),"")</f>
        <v>17</v>
      </c>
      <c r="E32" s="40">
        <f ca="1">IF(A32&lt;&gt;"entfällt",VLOOKUP(3,INDIRECT($C$68),4,0),"")</f>
        <v>3</v>
      </c>
      <c r="F32" s="42">
        <v>1</v>
      </c>
      <c r="G32" s="71" t="str">
        <f>IF(H2&gt;12,"Wert - Abzug","entfällt")</f>
        <v>Wert - Abzug</v>
      </c>
      <c r="H32" s="66"/>
    </row>
    <row r="33" spans="1:8" outlineLevel="1" x14ac:dyDescent="0.35">
      <c r="A33" s="165" t="str">
        <f>IF($H$2&gt;10,"Verbindung Sprung 4","entfällt")</f>
        <v>Verbindung Sprung 4</v>
      </c>
      <c r="B33" s="166"/>
      <c r="C33" s="40" t="str">
        <f ca="1">IF(A33&lt;&gt;"entfällt",VLOOKUP(4,INDIRECT($C$68),2,0),"")</f>
        <v>40/</v>
      </c>
      <c r="D33" s="40">
        <f ca="1">IF(A33&lt;&gt;"entfällt",VLOOKUP(4,INDIRECT($C$68),3,0),"")</f>
        <v>6</v>
      </c>
      <c r="E33" s="40">
        <f ca="1">IF(A33&lt;&gt;"entfällt",VLOOKUP(4,INDIRECT($C$68),4,0),"")</f>
        <v>3</v>
      </c>
      <c r="F33" s="42">
        <v>2</v>
      </c>
      <c r="G33" s="71" t="str">
        <f>IF(H2&gt;12,"Wert - Abzug","entfällt")</f>
        <v>Wert - Abzug</v>
      </c>
      <c r="H33" s="66"/>
    </row>
    <row r="34" spans="1:8" outlineLevel="1" x14ac:dyDescent="0.35">
      <c r="A34" s="165" t="str">
        <f>IF($H$2&gt;10,"Verbindung Sprung 5","entfällt")</f>
        <v>Verbindung Sprung 5</v>
      </c>
      <c r="B34" s="166"/>
      <c r="C34" s="40" t="str">
        <f ca="1">IF(A34&lt;&gt;"entfällt",VLOOKUP(5,INDIRECT($C$68),2,0),"")</f>
        <v>801&lt;</v>
      </c>
      <c r="D34" s="40">
        <f ca="1">IF(A34&lt;&gt;"entfällt",VLOOKUP(5,INDIRECT($C$68),3,0),"")</f>
        <v>13</v>
      </c>
      <c r="E34" s="40">
        <f ca="1">IF(A34&lt;&gt;"entfällt",VLOOKUP(5,INDIRECT($C$68),4,0),"")</f>
        <v>3</v>
      </c>
      <c r="F34" s="42">
        <v>1</v>
      </c>
      <c r="G34" s="71" t="str">
        <f>IF(H2&gt;12,"Wert - Abzug","entfällt")</f>
        <v>Wert - Abzug</v>
      </c>
      <c r="H34" s="66"/>
    </row>
    <row r="35" spans="1:8" ht="15" outlineLevel="1" thickBot="1" x14ac:dyDescent="0.4">
      <c r="A35" s="171" t="str">
        <f>IF($H$2&gt;10,"Verbindung Sprung 6","entfällt")</f>
        <v>Verbindung Sprung 6</v>
      </c>
      <c r="B35" s="172"/>
      <c r="C35" s="68" t="str">
        <f ca="1">IF(A35&lt;&gt;"entfällt",VLOOKUP(6,INDIRECT($C$68),2,0),"")</f>
        <v>822/</v>
      </c>
      <c r="D35" s="68">
        <f ca="1">IF(A35&lt;&gt;"entfällt",VLOOKUP(6,INDIRECT($C$68),3,0),"")</f>
        <v>16</v>
      </c>
      <c r="E35" s="68">
        <f ca="1">IF(A35&lt;&gt;"entfällt",VLOOKUP(6,INDIRECT($C$68),4,0),"")</f>
        <v>3</v>
      </c>
      <c r="F35" s="69">
        <v>2</v>
      </c>
      <c r="G35" s="72" t="str">
        <f>IF(H2&gt;12,"Wert - Abzug","entfällt")</f>
        <v>Wert - Abzug</v>
      </c>
      <c r="H35" s="70">
        <f>30-F30-F31-F32-F33-F34-F35</f>
        <v>20</v>
      </c>
    </row>
    <row r="36" spans="1:8" ht="15" thickBot="1" x14ac:dyDescent="0.4">
      <c r="A36" s="173" t="s">
        <v>41</v>
      </c>
      <c r="B36" s="174"/>
      <c r="C36" s="174"/>
      <c r="D36" s="174"/>
      <c r="E36" s="174"/>
      <c r="F36" s="174"/>
      <c r="G36" s="175"/>
      <c r="H36" s="89">
        <f>SUM(H20:H35)</f>
        <v>112.79999999999998</v>
      </c>
    </row>
    <row r="37" spans="1:8" ht="15" outlineLevel="1" thickBot="1" x14ac:dyDescent="0.4">
      <c r="A37" s="181" t="s">
        <v>99</v>
      </c>
      <c r="B37" s="182"/>
      <c r="C37" s="182"/>
      <c r="D37" s="183"/>
      <c r="E37" s="85" t="s">
        <v>27</v>
      </c>
      <c r="F37" s="85" t="s">
        <v>237</v>
      </c>
      <c r="G37" s="86" t="s">
        <v>28</v>
      </c>
      <c r="H37" s="49" t="s">
        <v>234</v>
      </c>
    </row>
    <row r="38" spans="1:8" outlineLevel="1" x14ac:dyDescent="0.35">
      <c r="A38" s="179" t="str">
        <f ca="1">VLOOKUP(1,INDIRECT($C$65),2,0)</f>
        <v>Salto vorwärts gehockt aus dem Stand</v>
      </c>
      <c r="B38" s="180"/>
      <c r="C38" s="180"/>
      <c r="D38" s="180"/>
      <c r="E38" s="92">
        <f ca="1">VLOOKUP(1,INDIRECT($C$65),3,0)</f>
        <v>5</v>
      </c>
      <c r="F38" s="79"/>
      <c r="G38" s="80" t="s">
        <v>146</v>
      </c>
      <c r="H38" s="84">
        <f ca="1">IF(E38=" ","",IF(F38="",0,E38-F38))</f>
        <v>0</v>
      </c>
    </row>
    <row r="39" spans="1:8" outlineLevel="1" x14ac:dyDescent="0.35">
      <c r="A39" s="163" t="str">
        <f ca="1">VLOOKUP(2,INDIRECT($C$65),2,0)</f>
        <v>Vorspreizen, Bestellschritt, Strecksprung 3/2 Drehung</v>
      </c>
      <c r="B39" s="164"/>
      <c r="C39" s="164"/>
      <c r="D39" s="164"/>
      <c r="E39" s="87">
        <f ca="1">VLOOKUP(2,INDIRECT($C$65),3,0)</f>
        <v>3</v>
      </c>
      <c r="F39" s="43"/>
      <c r="G39" s="81" t="s">
        <v>146</v>
      </c>
      <c r="H39" s="84">
        <f t="shared" ref="H39:H49" ca="1" si="1">IF(E39=" ","",IF(F39="",0,E39-F39))</f>
        <v>0</v>
      </c>
    </row>
    <row r="40" spans="1:8" outlineLevel="1" x14ac:dyDescent="0.35">
      <c r="A40" s="163" t="str">
        <f ca="1">VLOOKUP(3,INDIRECT($C$65),2,0)</f>
        <v>Rolle rückwärts durch Handstand mit 1/2 Drehung</v>
      </c>
      <c r="B40" s="164"/>
      <c r="C40" s="164"/>
      <c r="D40" s="164"/>
      <c r="E40" s="87">
        <f ca="1">VLOOKUP(3,INDIRECT($C$65),3,0)</f>
        <v>4</v>
      </c>
      <c r="F40" s="43"/>
      <c r="G40" s="81" t="s">
        <v>146</v>
      </c>
      <c r="H40" s="84">
        <f t="shared" ca="1" si="1"/>
        <v>0</v>
      </c>
    </row>
    <row r="41" spans="1:8" outlineLevel="1" x14ac:dyDescent="0.35">
      <c r="A41" s="163" t="str">
        <f ca="1">VLOOKUP(4,INDIRECT($C$65),2,0)</f>
        <v>--&gt; Strecksprung --&gt; Salto vorwärts gehockt</v>
      </c>
      <c r="B41" s="164"/>
      <c r="C41" s="164"/>
      <c r="D41" s="164"/>
      <c r="E41" s="87">
        <f ca="1">VLOOKUP(4,INDIRECT($C$65),3,0)</f>
        <v>4</v>
      </c>
      <c r="F41" s="43"/>
      <c r="G41" s="81" t="s">
        <v>146</v>
      </c>
      <c r="H41" s="84">
        <f t="shared" ca="1" si="1"/>
        <v>0</v>
      </c>
    </row>
    <row r="42" spans="1:8" outlineLevel="1" x14ac:dyDescent="0.35">
      <c r="A42" s="163" t="str">
        <f ca="1">VLOOKUP(5,INDIRECT($C$65),2,0)</f>
        <v>Wiener, 1/2 Drehung, absenken zum Stand</v>
      </c>
      <c r="B42" s="164"/>
      <c r="C42" s="164"/>
      <c r="D42" s="164"/>
      <c r="E42" s="87">
        <f ca="1">VLOOKUP(5,INDIRECT($C$65),3,0)</f>
        <v>4</v>
      </c>
      <c r="F42" s="43"/>
      <c r="G42" s="81" t="s">
        <v>146</v>
      </c>
      <c r="H42" s="84">
        <f t="shared" ca="1" si="1"/>
        <v>0</v>
      </c>
    </row>
    <row r="43" spans="1:8" outlineLevel="1" x14ac:dyDescent="0.35">
      <c r="A43" s="163" t="str">
        <f ca="1">VLOOKUP(6,INDIRECT($C$65),2,0)</f>
        <v>Handstand mit zwei Hüpfern, abrollen</v>
      </c>
      <c r="B43" s="164"/>
      <c r="C43" s="164"/>
      <c r="D43" s="164"/>
      <c r="E43" s="87">
        <f ca="1">VLOOKUP(6,INDIRECT($C$65),3,0)</f>
        <v>2</v>
      </c>
      <c r="F43" s="43"/>
      <c r="G43" s="81" t="s">
        <v>146</v>
      </c>
      <c r="H43" s="84">
        <f t="shared" ca="1" si="1"/>
        <v>0</v>
      </c>
    </row>
    <row r="44" spans="1:8" outlineLevel="1" x14ac:dyDescent="0.35">
      <c r="A44" s="163" t="str">
        <f ca="1">VLOOKUP(7,INDIRECT($C$65),2,0)</f>
        <v>--&gt; aufstehen mit gestreckten Beinen</v>
      </c>
      <c r="B44" s="164"/>
      <c r="C44" s="164"/>
      <c r="D44" s="164"/>
      <c r="E44" s="87">
        <f ca="1">VLOOKUP(7,INDIRECT($C$65),3,0)</f>
        <v>3</v>
      </c>
      <c r="F44" s="43"/>
      <c r="G44" s="81" t="s">
        <v>146</v>
      </c>
      <c r="H44" s="84">
        <f t="shared" ca="1" si="1"/>
        <v>0</v>
      </c>
    </row>
    <row r="45" spans="1:8" outlineLevel="1" x14ac:dyDescent="0.35">
      <c r="A45" s="163" t="str">
        <f ca="1">VLOOKUP(8,INDIRECT($C$65),2,0)</f>
        <v>Salto rückwärts gebückt</v>
      </c>
      <c r="B45" s="164"/>
      <c r="C45" s="164"/>
      <c r="D45" s="164"/>
      <c r="E45" s="87">
        <f ca="1">VLOOKUP(8,INDIRECT($C$65),3,0)</f>
        <v>5</v>
      </c>
      <c r="F45" s="43"/>
      <c r="G45" s="81" t="s">
        <v>146</v>
      </c>
      <c r="H45" s="84">
        <f t="shared" ca="1" si="1"/>
        <v>0</v>
      </c>
    </row>
    <row r="46" spans="1:8" outlineLevel="1" x14ac:dyDescent="0.35">
      <c r="A46" s="163" t="str">
        <f ca="1">VLOOKUP(9,INDIRECT($C$65),2,0)</f>
        <v xml:space="preserve"> </v>
      </c>
      <c r="B46" s="164"/>
      <c r="C46" s="164"/>
      <c r="D46" s="164"/>
      <c r="E46" s="87" t="str">
        <f ca="1">VLOOKUP(9,INDIRECT($C$65),3,0)</f>
        <v xml:space="preserve"> </v>
      </c>
      <c r="F46" s="43"/>
      <c r="G46" s="81" t="str">
        <f>IF(H2&gt;16,"","Wert - Abzug")</f>
        <v/>
      </c>
      <c r="H46" s="84" t="str">
        <f t="shared" ca="1" si="1"/>
        <v/>
      </c>
    </row>
    <row r="47" spans="1:8" outlineLevel="1" x14ac:dyDescent="0.35">
      <c r="A47" s="163" t="str">
        <f ca="1">VLOOKUP(10,INDIRECT($C$65),2,0)</f>
        <v xml:space="preserve"> </v>
      </c>
      <c r="B47" s="164"/>
      <c r="C47" s="164"/>
      <c r="D47" s="164"/>
      <c r="E47" s="87" t="str">
        <f ca="1">VLOOKUP(10,INDIRECT($C$65),3,0)</f>
        <v xml:space="preserve"> </v>
      </c>
      <c r="F47" s="43"/>
      <c r="G47" s="81" t="str">
        <f>IF(H2&gt;16,"","Wert - Abzug")</f>
        <v/>
      </c>
      <c r="H47" s="84" t="str">
        <f t="shared" ca="1" si="1"/>
        <v/>
      </c>
    </row>
    <row r="48" spans="1:8" outlineLevel="1" x14ac:dyDescent="0.35">
      <c r="A48" s="163" t="str">
        <f ca="1">VLOOKUP(11,INDIRECT($C$65),2,0)</f>
        <v xml:space="preserve"> </v>
      </c>
      <c r="B48" s="164"/>
      <c r="C48" s="164"/>
      <c r="D48" s="164"/>
      <c r="E48" s="87" t="str">
        <f ca="1">VLOOKUP(11,INDIRECT($C$65),3,0)</f>
        <v xml:space="preserve"> </v>
      </c>
      <c r="F48" s="43"/>
      <c r="G48" s="81" t="str">
        <f>IF(H2&gt;13,"","Wert - Abzug")</f>
        <v/>
      </c>
      <c r="H48" s="84" t="str">
        <f t="shared" ca="1" si="1"/>
        <v/>
      </c>
    </row>
    <row r="49" spans="1:8" ht="15" outlineLevel="1" thickBot="1" x14ac:dyDescent="0.4">
      <c r="A49" s="184" t="str">
        <f ca="1">VLOOKUP(12,INDIRECT($C$65),2,0)</f>
        <v xml:space="preserve"> </v>
      </c>
      <c r="B49" s="185"/>
      <c r="C49" s="185"/>
      <c r="D49" s="185"/>
      <c r="E49" s="93" t="str">
        <f ca="1">VLOOKUP(12,INDIRECT($C$65),3,0)</f>
        <v xml:space="preserve"> </v>
      </c>
      <c r="F49" s="82"/>
      <c r="G49" s="83" t="str">
        <f>IF(OR(H2=9,H2=12,H2=13),"Wert - Abzug","")</f>
        <v/>
      </c>
      <c r="H49" s="84" t="str">
        <f t="shared" ca="1" si="1"/>
        <v/>
      </c>
    </row>
    <row r="50" spans="1:8" ht="15" thickBot="1" x14ac:dyDescent="0.4">
      <c r="A50" s="176" t="s">
        <v>98</v>
      </c>
      <c r="B50" s="177"/>
      <c r="C50" s="177"/>
      <c r="D50" s="177"/>
      <c r="E50" s="177"/>
      <c r="F50" s="177"/>
      <c r="G50" s="178"/>
      <c r="H50" s="44">
        <f ca="1">SUM(H38:H49)</f>
        <v>0</v>
      </c>
    </row>
    <row r="51" spans="1:8" ht="16" thickBot="1" x14ac:dyDescent="0.4">
      <c r="A51" s="169" t="s">
        <v>42</v>
      </c>
      <c r="B51" s="170"/>
      <c r="C51" s="170"/>
      <c r="D51" s="170"/>
      <c r="E51" s="170"/>
      <c r="F51" s="170"/>
      <c r="G51" s="170"/>
      <c r="H51" s="94">
        <f ca="1">SUM(H9,H18,H36,H50)</f>
        <v>209.79999999999998</v>
      </c>
    </row>
    <row r="52" spans="1:8" s="23" customFormat="1" x14ac:dyDescent="0.35">
      <c r="D52" s="50"/>
      <c r="E52" s="50"/>
      <c r="F52" s="50"/>
      <c r="G52" s="50"/>
    </row>
    <row r="53" spans="1:8" s="23" customFormat="1" hidden="1" x14ac:dyDescent="0.35">
      <c r="C53" s="24"/>
      <c r="D53" s="50"/>
      <c r="E53" s="50"/>
      <c r="F53" s="50"/>
      <c r="G53" s="50"/>
    </row>
    <row r="54" spans="1:8" s="23" customFormat="1" hidden="1" x14ac:dyDescent="0.35">
      <c r="B54" s="23" t="s">
        <v>249</v>
      </c>
      <c r="C54" s="23" t="str">
        <f>IF(H2&lt;13,"beide",F1)</f>
        <v>männlich</v>
      </c>
      <c r="D54" s="50"/>
      <c r="E54" s="50"/>
      <c r="F54" s="50"/>
      <c r="G54" s="50"/>
    </row>
    <row r="55" spans="1:8" s="23" customFormat="1" hidden="1" x14ac:dyDescent="0.35">
      <c r="B55" s="23" t="s">
        <v>3</v>
      </c>
      <c r="C55" s="23">
        <f>IF(OR(H2=8,H2=11),H2,IF(H2&lt;11,"9_10",IF(H2&lt;14,"12_13",IF(H2&lt;16,"14_15",IF(H2&lt;18,"16_17",18)))))</f>
        <v>18</v>
      </c>
      <c r="D55" s="50"/>
      <c r="E55" s="50"/>
      <c r="F55" s="50"/>
      <c r="G55" s="50"/>
    </row>
    <row r="56" spans="1:8" s="23" customFormat="1" hidden="1" x14ac:dyDescent="0.35">
      <c r="D56" s="50"/>
      <c r="E56" s="50"/>
      <c r="F56" s="50"/>
      <c r="G56" s="50"/>
    </row>
    <row r="57" spans="1:8" s="23" customFormat="1" hidden="1" x14ac:dyDescent="0.35">
      <c r="B57" s="23" t="s">
        <v>251</v>
      </c>
      <c r="C57" s="23" t="str">
        <f>"TBN_"&amp;C54&amp;"_"&amp;C55</f>
        <v>TBN_männlich_18</v>
      </c>
      <c r="D57" s="50"/>
      <c r="E57" s="50"/>
      <c r="F57" s="50"/>
      <c r="G57" s="50"/>
    </row>
    <row r="58" spans="1:8" s="23" customFormat="1" hidden="1" x14ac:dyDescent="0.35">
      <c r="C58" s="23" t="str">
        <f>C57&amp;"[Beschreibung]"</f>
        <v>TBN_männlich_18[Beschreibung]</v>
      </c>
      <c r="D58" s="50"/>
      <c r="E58" s="50"/>
      <c r="F58" s="50"/>
      <c r="G58" s="50"/>
    </row>
    <row r="59" spans="1:8" s="23" customFormat="1" hidden="1" x14ac:dyDescent="0.35">
      <c r="D59" s="50"/>
      <c r="E59" s="50"/>
      <c r="F59" s="50"/>
      <c r="G59" s="50"/>
    </row>
    <row r="60" spans="1:8" s="23" customFormat="1" hidden="1" x14ac:dyDescent="0.35">
      <c r="B60" s="23" t="s">
        <v>147</v>
      </c>
      <c r="C60" s="23" t="str">
        <f>"TN_"&amp;C54&amp;"_"&amp;C55</f>
        <v>TN_männlich_18</v>
      </c>
      <c r="D60" s="50"/>
      <c r="E60" s="50"/>
      <c r="F60" s="50"/>
      <c r="G60" s="50"/>
    </row>
    <row r="61" spans="1:8" s="23" customFormat="1" hidden="1" x14ac:dyDescent="0.35">
      <c r="C61" s="23" t="str">
        <f>C60&amp;"[Beschreibung]"</f>
        <v>TN_männlich_18[Beschreibung]</v>
      </c>
      <c r="D61" s="50"/>
      <c r="E61" s="50"/>
      <c r="F61" s="50"/>
      <c r="G61" s="50"/>
    </row>
    <row r="62" spans="1:8" s="23" customFormat="1" hidden="1" x14ac:dyDescent="0.35">
      <c r="D62" s="50"/>
      <c r="E62" s="50"/>
      <c r="F62" s="50"/>
      <c r="G62" s="50"/>
    </row>
    <row r="63" spans="1:8" s="23" customFormat="1" hidden="1" x14ac:dyDescent="0.35">
      <c r="B63" s="23" t="s">
        <v>17</v>
      </c>
      <c r="C63" s="23" t="str">
        <f>"TV_"&amp;F1&amp;"_"&amp;C55</f>
        <v>TV_männlich_18</v>
      </c>
      <c r="D63" s="50"/>
      <c r="E63" s="50"/>
      <c r="F63" s="50"/>
      <c r="G63" s="50"/>
    </row>
    <row r="64" spans="1:8" s="23" customFormat="1" hidden="1" x14ac:dyDescent="0.35">
      <c r="D64" s="50"/>
      <c r="E64" s="50"/>
      <c r="F64" s="50"/>
      <c r="G64" s="50"/>
    </row>
    <row r="65" spans="2:7" s="23" customFormat="1" hidden="1" x14ac:dyDescent="0.35">
      <c r="B65" s="23" t="s">
        <v>252</v>
      </c>
      <c r="C65" s="23" t="str">
        <f>"BKÜ"&amp;IF(H2=9,"_9",IF(H2&lt;12,"_10_11",IF(H2&lt;14,"_12_13",IF(H2&lt;17,"_14_16","_17"))))</f>
        <v>BKÜ_17</v>
      </c>
      <c r="D65" s="50"/>
      <c r="E65" s="50"/>
      <c r="F65" s="50"/>
      <c r="G65" s="50"/>
    </row>
    <row r="66" spans="2:7" s="23" customFormat="1" hidden="1" x14ac:dyDescent="0.35">
      <c r="D66" s="50"/>
      <c r="E66" s="50"/>
      <c r="F66" s="50"/>
      <c r="G66" s="50"/>
    </row>
    <row r="67" spans="2:7" s="23" customFormat="1" hidden="1" x14ac:dyDescent="0.35">
      <c r="B67" s="23" t="s">
        <v>250</v>
      </c>
      <c r="C67" s="23" t="str">
        <f>IF(H2&lt;17,"beide",F1)</f>
        <v>männlich</v>
      </c>
      <c r="D67" s="50"/>
      <c r="E67" s="50"/>
      <c r="F67" s="50"/>
      <c r="G67" s="50"/>
    </row>
    <row r="68" spans="2:7" s="23" customFormat="1" hidden="1" x14ac:dyDescent="0.35">
      <c r="B68" s="23" t="s">
        <v>17</v>
      </c>
      <c r="C68" s="23" t="str">
        <f>"TV_"&amp;C67&amp;"_"&amp;C55</f>
        <v>TV_männlich_18</v>
      </c>
      <c r="D68" s="50"/>
      <c r="E68" s="50"/>
      <c r="F68" s="50"/>
      <c r="G68" s="50"/>
    </row>
    <row r="69" spans="2:7" x14ac:dyDescent="0.35"/>
    <row r="70" spans="2:7" x14ac:dyDescent="0.35"/>
  </sheetData>
  <sheetProtection algorithmName="SHA-512" hashValue="SSG25turSLduzh1xcru7G4FI0oeEBfNCf6Khc8p/oTxC3AE4dMroD8/ZDqG8MK9gxksR9FAbc0pCRQSp4hzgVA==" saltValue="MNqLQ/Uuj1NsXCufkTgPGw==" spinCount="100000" sheet="1" objects="1" scenarios="1" selectLockedCells="1"/>
  <protectedRanges>
    <protectedRange sqref="H1:H2 F1:F2 B1:B2" name="Athletendaten"/>
    <protectedRange sqref="F38:F49 C20:F35 D69:E440 C69:C441 F4:F8 C38:E68 C11:E16 F11:F17" name="Werte und Varianten"/>
    <protectedRange algorithmName="SHA-512" hashValue="EtPG7jm6pk6JVG08ToKZL4Sto4PS6TOUsygvFmj6DTfcGnX6DwKdfjTEg/2X1Hwnu/CwfNhBUSnXKs/oLqcupQ==" saltValue="sPse4fdTsI5OFESYvRIl8Q==" spinCount="100000" sqref="H4:H8 H38:H49 H20:H35 H11:H17" name="Punktzahlen"/>
  </protectedRanges>
  <mergeCells count="44">
    <mergeCell ref="A12:E12"/>
    <mergeCell ref="B1:E1"/>
    <mergeCell ref="B2:F2"/>
    <mergeCell ref="A3:E3"/>
    <mergeCell ref="A4:E4"/>
    <mergeCell ref="A5:E5"/>
    <mergeCell ref="A6:E6"/>
    <mergeCell ref="A7:E7"/>
    <mergeCell ref="A8:E8"/>
    <mergeCell ref="A9:G9"/>
    <mergeCell ref="A10:E10"/>
    <mergeCell ref="A11:E11"/>
    <mergeCell ref="A31:B31"/>
    <mergeCell ref="A13:E13"/>
    <mergeCell ref="A14:E14"/>
    <mergeCell ref="A15:E15"/>
    <mergeCell ref="A16:E16"/>
    <mergeCell ref="A18:G18"/>
    <mergeCell ref="A19:C19"/>
    <mergeCell ref="A20:B20"/>
    <mergeCell ref="A21:B21"/>
    <mergeCell ref="A22:B22"/>
    <mergeCell ref="A23:B23"/>
    <mergeCell ref="A30:B30"/>
    <mergeCell ref="A43:D43"/>
    <mergeCell ref="A32:B32"/>
    <mergeCell ref="A33:B33"/>
    <mergeCell ref="A34:B34"/>
    <mergeCell ref="A35:B35"/>
    <mergeCell ref="A36:G36"/>
    <mergeCell ref="A37:D37"/>
    <mergeCell ref="A38:D38"/>
    <mergeCell ref="A39:D39"/>
    <mergeCell ref="A40:D40"/>
    <mergeCell ref="A41:D41"/>
    <mergeCell ref="A42:D42"/>
    <mergeCell ref="A50:G50"/>
    <mergeCell ref="A51:G51"/>
    <mergeCell ref="A44:D44"/>
    <mergeCell ref="A45:D45"/>
    <mergeCell ref="A46:D46"/>
    <mergeCell ref="A47:D47"/>
    <mergeCell ref="A48:D48"/>
    <mergeCell ref="A49:D49"/>
  </mergeCells>
  <conditionalFormatting sqref="F46:F49">
    <cfRule type="expression" dxfId="284" priority="3">
      <formula>$A46=" "</formula>
    </cfRule>
  </conditionalFormatting>
  <conditionalFormatting sqref="B24:B29 C21:E29">
    <cfRule type="expression" dxfId="283" priority="2">
      <formula>$A21="entfällt"</formula>
    </cfRule>
    <cfRule type="expression" dxfId="282" priority="4">
      <formula>$H$2&gt;14</formula>
    </cfRule>
  </conditionalFormatting>
  <conditionalFormatting sqref="B24:B29">
    <cfRule type="expression" dxfId="281" priority="1">
      <formula>AND($A24="TN",$C24&lt;&gt;"")</formula>
    </cfRule>
  </conditionalFormatting>
  <dataValidations count="19">
    <dataValidation type="decimal" errorStyle="warning" allowBlank="1" showInputMessage="1" showErrorMessage="1" error="Eingegebener Abzug überschreitet maximal zulässigen Abzug, Wert bitte überprüfen!" sqref="F21:F35" xr:uid="{A40D5F78-DC29-4153-BFDB-768CE3CFFFD0}">
      <formula1>0</formula1>
      <formula2>$E21</formula2>
    </dataValidation>
    <dataValidation type="list" allowBlank="1" showInputMessage="1" showErrorMessage="1" sqref="C20" xr:uid="{805DC179-08C5-49B7-BD29-D43D84E9872A}">
      <formula1>"Lichtschranke,Druckmessplatte"</formula1>
    </dataValidation>
    <dataValidation type="whole" allowBlank="1" showInputMessage="1" showErrorMessage="1" errorTitle="Falsche Eingabe" error="Bitte Wert prüfen" sqref="D17" xr:uid="{1D748F25-D8C6-4E5B-A6BD-FA56D4BE2BD6}">
      <formula1>1</formula1>
      <formula2>13</formula2>
    </dataValidation>
    <dataValidation type="list" allowBlank="1" showInputMessage="1" sqref="C24:C29" xr:uid="{FF0D7B71-ADAD-4ECC-A6E9-0D61E2CAFF8C}">
      <formula1>INDIRECT($C$61)</formula1>
    </dataValidation>
    <dataValidation type="list" allowBlank="1" showInputMessage="1" sqref="C21:C23" xr:uid="{54F4BF1A-8684-410C-AFEB-446DA9C15F2C}">
      <formula1>INDIRECT($C$58)</formula1>
    </dataValidation>
    <dataValidation allowBlank="1" showInputMessage="1" showErrorMessage="1" prompt="Anzahl der Wiederholungen" sqref="F11" xr:uid="{98C0AFE2-F087-4256-B067-53AF97791752}"/>
    <dataValidation type="whole" allowBlank="1" showInputMessage="1" showErrorMessage="1" prompt="Abstand von der Oberkante des Turnhockers zur schlechtesten Fingerspitze in cm" sqref="F6" xr:uid="{9FCDDB12-A3F3-4B02-88DB-2A08A3CC77E2}">
      <formula1>-50</formula1>
      <formula2>50</formula2>
    </dataValidation>
    <dataValidation type="list" allowBlank="1" showInputMessage="1" showErrorMessage="1" prompt="Punktzahl nach Vergleich mit Bild" sqref="F5" xr:uid="{ECD528A5-F35A-4FCD-A1A2-72141AB47AC8}">
      <formula1>"0,2,6,10"</formula1>
    </dataValidation>
    <dataValidation type="whole" allowBlank="1" showErrorMessage="1" errorTitle="Falsche Eingabe" error="Bitte Wert prüfen" prompt="Höchste erreichte Stufe" sqref="F17" xr:uid="{F3E52677-1158-486C-BCAE-99C7685AE121}">
      <formula1>1</formula1>
      <formula2>11</formula2>
    </dataValidation>
    <dataValidation allowBlank="1" sqref="D20:E20" xr:uid="{DF6742D6-4BF1-4B1D-9A65-A78D9680FB26}"/>
    <dataValidation type="decimal" errorStyle="warning" allowBlank="1" showInputMessage="1" showErrorMessage="1" error="Abzug höher als Wert des Elements, bitte überprüfen!" prompt="Abzug" sqref="F38:F49" xr:uid="{2E5E51CD-0D81-46F0-9E8B-653C9ADAEC55}">
      <formula1>0</formula1>
      <formula2>$E38</formula2>
    </dataValidation>
    <dataValidation type="whole" allowBlank="1" showInputMessage="1" showErrorMessage="1" prompt="AKs 9 - 13: Übersprungene Kästchen_x000a__x000a_AKs 14 - 21: Anzahl Saltos" sqref="F15" xr:uid="{4B65D783-1F80-4AAE-98F2-8341547638A1}">
      <formula1>0</formula1>
      <formula2>50</formula2>
    </dataValidation>
    <dataValidation type="list" allowBlank="1" showInputMessage="1" showErrorMessage="1" sqref="F1" xr:uid="{BC6A6334-12A9-407B-8696-B89153868CC6}">
      <formula1>"männlich,weiblich"</formula1>
    </dataValidation>
    <dataValidation type="whole" allowBlank="1" showInputMessage="1" showErrorMessage="1" sqref="H4:H8" xr:uid="{D21BAB85-4685-404D-A8D0-EEA57AEB1DFF}">
      <formula1>0</formula1>
      <formula2>10</formula2>
    </dataValidation>
    <dataValidation type="whole" allowBlank="1" showInputMessage="1" showErrorMessage="1" prompt="Haltezeit in Sekunden" sqref="F13" xr:uid="{A3ADE832-ED60-4751-9372-6FB5F1411BCD}">
      <formula1>0</formula1>
      <formula2>200</formula2>
    </dataValidation>
    <dataValidation type="whole" allowBlank="1" showInputMessage="1" showErrorMessage="1" prompt="Haltezeit in Sekunden" sqref="F16" xr:uid="{B5BF67D1-F8FF-414E-9A83-8F0B793FC85C}">
      <formula1>0</formula1>
      <formula2>100</formula2>
    </dataValidation>
    <dataValidation type="whole" allowBlank="1" showInputMessage="1" showErrorMessage="1" prompt="Anzahl der Wiederholungen" sqref="F14 F12" xr:uid="{0E4AE4D2-DBE7-438A-B418-1A2DD69A32C3}">
      <formula1>0</formula1>
      <formula2>50</formula2>
    </dataValidation>
    <dataValidation type="list" operator="equal" allowBlank="1" showInputMessage="1" showErrorMessage="1" prompt="Punktzahl nach Vergleich mit Bild" sqref="F4" xr:uid="{F9D7E771-3263-48B5-9F21-3F2911986F2C}">
      <formula1>"0,2,6,10"</formula1>
    </dataValidation>
    <dataValidation type="decimal" errorStyle="warning" showDropDown="1" showErrorMessage="1" error="Wert unrealistisch hoch, bitte Eingabe überprüfen" promptTitle="Vorsicht" sqref="F20" xr:uid="{8A56C0B8-2374-4115-9D65-FA7CB3310C36}">
      <formula1>0</formula1>
      <formula2>30</formula2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Bitte Werte aus Dropdown auswählen" prompt="Abstand vom Boden laut Schablone" xr:uid="{2E96201D-B29D-4AC2-BE8A-F6D9403D42DB}">
          <x14:formula1>
            <xm:f>Punktetabellen!$A$3:$A$6</xm:f>
          </x14:formula1>
          <xm:sqref>F7:F8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B865B-E30B-48FB-A230-0F442EA4104A}">
  <sheetPr codeName="Tabelle28">
    <tabColor indexed="44"/>
    <pageSetUpPr fitToPage="1"/>
  </sheetPr>
  <dimension ref="A1:J70"/>
  <sheetViews>
    <sheetView zoomScale="85" zoomScaleNormal="85" workbookViewId="0">
      <pane ySplit="2" topLeftCell="A36" activePane="bottomLeft" state="frozen"/>
      <selection sqref="A1:H1"/>
      <selection pane="bottomLeft" activeCell="F14" sqref="F14"/>
    </sheetView>
  </sheetViews>
  <sheetFormatPr baseColWidth="10" defaultColWidth="0" defaultRowHeight="14.5" zeroHeight="1" outlineLevelRow="1" x14ac:dyDescent="0.35"/>
  <cols>
    <col min="1" max="1" width="11.453125" customWidth="1"/>
    <col min="2" max="2" width="12.1796875" customWidth="1"/>
    <col min="3" max="3" width="44.81640625" bestFit="1" customWidth="1"/>
    <col min="4" max="5" width="11.453125" style="154" customWidth="1"/>
    <col min="6" max="6" width="16.1796875" style="154" bestFit="1" customWidth="1"/>
    <col min="7" max="7" width="13.81640625" style="154" customWidth="1"/>
    <col min="8" max="8" width="11.453125" customWidth="1"/>
    <col min="9" max="9" width="6.1796875" style="23" hidden="1" customWidth="1"/>
    <col min="10" max="10" width="0" hidden="1" customWidth="1"/>
    <col min="11" max="16384" width="11.453125" hidden="1"/>
  </cols>
  <sheetData>
    <row r="1" spans="1:8" ht="15.5" x14ac:dyDescent="0.35">
      <c r="A1" s="16" t="s">
        <v>1</v>
      </c>
      <c r="B1" s="186" t="s">
        <v>389</v>
      </c>
      <c r="C1" s="187"/>
      <c r="D1" s="187"/>
      <c r="E1" s="188"/>
      <c r="F1" s="51" t="s">
        <v>96</v>
      </c>
      <c r="G1" s="61" t="s">
        <v>24</v>
      </c>
      <c r="H1" s="63">
        <v>2010</v>
      </c>
    </row>
    <row r="2" spans="1:8" ht="16" thickBot="1" x14ac:dyDescent="0.4">
      <c r="A2" s="17" t="s">
        <v>4</v>
      </c>
      <c r="B2" s="198" t="s">
        <v>388</v>
      </c>
      <c r="C2" s="199"/>
      <c r="D2" s="199"/>
      <c r="E2" s="199"/>
      <c r="F2" s="200"/>
      <c r="G2" s="62" t="s">
        <v>3</v>
      </c>
      <c r="H2" s="64">
        <f>2022-H1</f>
        <v>12</v>
      </c>
    </row>
    <row r="3" spans="1:8" ht="15" outlineLevel="1" thickBot="1" x14ac:dyDescent="0.4">
      <c r="A3" s="189" t="s">
        <v>26</v>
      </c>
      <c r="B3" s="190"/>
      <c r="C3" s="190"/>
      <c r="D3" s="190"/>
      <c r="E3" s="191"/>
      <c r="F3" s="46" t="s">
        <v>27</v>
      </c>
      <c r="G3" s="47" t="s">
        <v>28</v>
      </c>
      <c r="H3" s="22" t="s">
        <v>234</v>
      </c>
    </row>
    <row r="4" spans="1:8" outlineLevel="1" x14ac:dyDescent="0.35">
      <c r="A4" s="192" t="s">
        <v>30</v>
      </c>
      <c r="B4" s="193"/>
      <c r="C4" s="193"/>
      <c r="D4" s="193"/>
      <c r="E4" s="194"/>
      <c r="F4" s="25">
        <v>10</v>
      </c>
      <c r="G4" s="55" t="s">
        <v>32</v>
      </c>
      <c r="H4" s="34">
        <f>F4</f>
        <v>10</v>
      </c>
    </row>
    <row r="5" spans="1:8" outlineLevel="1" x14ac:dyDescent="0.35">
      <c r="A5" s="195" t="s">
        <v>85</v>
      </c>
      <c r="B5" s="196"/>
      <c r="C5" s="196"/>
      <c r="D5" s="196"/>
      <c r="E5" s="197"/>
      <c r="F5" s="14">
        <v>6</v>
      </c>
      <c r="G5" s="56" t="s">
        <v>32</v>
      </c>
      <c r="H5" s="35">
        <f>F5</f>
        <v>6</v>
      </c>
    </row>
    <row r="6" spans="1:8" outlineLevel="1" x14ac:dyDescent="0.35">
      <c r="A6" s="195" t="s">
        <v>33</v>
      </c>
      <c r="B6" s="196"/>
      <c r="C6" s="196"/>
      <c r="D6" s="196"/>
      <c r="E6" s="197"/>
      <c r="F6" s="14">
        <v>16</v>
      </c>
      <c r="G6" s="56" t="s">
        <v>31</v>
      </c>
      <c r="H6" s="35">
        <f>IF(F6="",0,VLOOKUP(F6,Punktetabellen!A10:B15,2,1))</f>
        <v>6</v>
      </c>
    </row>
    <row r="7" spans="1:8" outlineLevel="1" x14ac:dyDescent="0.35">
      <c r="A7" s="195" t="s">
        <v>34</v>
      </c>
      <c r="B7" s="196"/>
      <c r="C7" s="196"/>
      <c r="D7" s="196"/>
      <c r="E7" s="197"/>
      <c r="F7" s="14" t="s">
        <v>87</v>
      </c>
      <c r="G7" s="56" t="s">
        <v>31</v>
      </c>
      <c r="H7" s="35">
        <f>IF(F7="",0,VLOOKUP(F7,Punktetabellen!A3:B6,2,0))</f>
        <v>3</v>
      </c>
    </row>
    <row r="8" spans="1:8" ht="15" outlineLevel="1" thickBot="1" x14ac:dyDescent="0.4">
      <c r="A8" s="204" t="s">
        <v>35</v>
      </c>
      <c r="B8" s="205"/>
      <c r="C8" s="205"/>
      <c r="D8" s="205"/>
      <c r="E8" s="206"/>
      <c r="F8" s="41" t="s">
        <v>86</v>
      </c>
      <c r="G8" s="57" t="s">
        <v>31</v>
      </c>
      <c r="H8" s="36">
        <f>IF(F8="",0,VLOOKUP(F8,Punktetabellen!A3:B6,2,0))</f>
        <v>4</v>
      </c>
    </row>
    <row r="9" spans="1:8" ht="15" thickBot="1" x14ac:dyDescent="0.4">
      <c r="A9" s="210" t="s">
        <v>36</v>
      </c>
      <c r="B9" s="211"/>
      <c r="C9" s="211"/>
      <c r="D9" s="211"/>
      <c r="E9" s="211"/>
      <c r="F9" s="211"/>
      <c r="G9" s="211"/>
      <c r="H9" s="48">
        <f>SUM(H4:H8)</f>
        <v>29</v>
      </c>
    </row>
    <row r="10" spans="1:8" ht="15" outlineLevel="1" thickBot="1" x14ac:dyDescent="0.4">
      <c r="A10" s="189" t="s">
        <v>26</v>
      </c>
      <c r="B10" s="190"/>
      <c r="C10" s="190"/>
      <c r="D10" s="190"/>
      <c r="E10" s="191"/>
      <c r="F10" s="46" t="s">
        <v>27</v>
      </c>
      <c r="G10" s="47" t="s">
        <v>28</v>
      </c>
      <c r="H10" s="22" t="s">
        <v>234</v>
      </c>
    </row>
    <row r="11" spans="1:8" outlineLevel="1" x14ac:dyDescent="0.35">
      <c r="A11" s="207" t="s">
        <v>37</v>
      </c>
      <c r="B11" s="208"/>
      <c r="C11" s="208"/>
      <c r="D11" s="208"/>
      <c r="E11" s="209"/>
      <c r="F11" s="26">
        <v>6</v>
      </c>
      <c r="G11" s="58" t="s">
        <v>31</v>
      </c>
      <c r="H11" s="37">
        <f>IF($F11="",0,VLOOKUP($F11,Pkte_Klimmzug[],$H$2,1))</f>
        <v>5</v>
      </c>
    </row>
    <row r="12" spans="1:8" outlineLevel="1" x14ac:dyDescent="0.35">
      <c r="A12" s="201" t="s">
        <v>38</v>
      </c>
      <c r="B12" s="202"/>
      <c r="C12" s="202"/>
      <c r="D12" s="202"/>
      <c r="E12" s="203"/>
      <c r="F12" s="27"/>
      <c r="G12" s="59" t="s">
        <v>31</v>
      </c>
      <c r="H12" s="38">
        <f>IF($F12="",0,VLOOKUP($F12,Pkte_Beinheben[],$H$2,1))</f>
        <v>0</v>
      </c>
    </row>
    <row r="13" spans="1:8" outlineLevel="1" x14ac:dyDescent="0.35">
      <c r="A13" s="201" t="s">
        <v>88</v>
      </c>
      <c r="B13" s="202"/>
      <c r="C13" s="202"/>
      <c r="D13" s="202"/>
      <c r="E13" s="203"/>
      <c r="F13" s="27">
        <v>100</v>
      </c>
      <c r="G13" s="59" t="s">
        <v>31</v>
      </c>
      <c r="H13" s="38">
        <f>IF($F13="",0,VLOOKUP($F13,Pkte_Flieger[],$H$2,1))</f>
        <v>10</v>
      </c>
    </row>
    <row r="14" spans="1:8" outlineLevel="1" x14ac:dyDescent="0.35">
      <c r="A14" s="201" t="s">
        <v>39</v>
      </c>
      <c r="B14" s="202"/>
      <c r="C14" s="202"/>
      <c r="D14" s="202"/>
      <c r="E14" s="203"/>
      <c r="F14" s="27"/>
      <c r="G14" s="59" t="s">
        <v>31</v>
      </c>
      <c r="H14" s="38">
        <f>IF($F14="",0,VLOOKUP($F14,Pkte_Rollenverbindung[],$H$2,1))</f>
        <v>0</v>
      </c>
    </row>
    <row r="15" spans="1:8" outlineLevel="1" x14ac:dyDescent="0.35">
      <c r="A15" s="201" t="s">
        <v>89</v>
      </c>
      <c r="B15" s="202"/>
      <c r="C15" s="202"/>
      <c r="D15" s="202"/>
      <c r="E15" s="203"/>
      <c r="F15" s="27"/>
      <c r="G15" s="59" t="s">
        <v>31</v>
      </c>
      <c r="H15" s="38">
        <f>IF($F15="",0,VLOOKUP($F15,Pkte_Prellsprung[],$H$2,1))</f>
        <v>0</v>
      </c>
    </row>
    <row r="16" spans="1:8" outlineLevel="1" x14ac:dyDescent="0.35">
      <c r="A16" s="201" t="s">
        <v>90</v>
      </c>
      <c r="B16" s="202"/>
      <c r="C16" s="202"/>
      <c r="D16" s="202"/>
      <c r="E16" s="203"/>
      <c r="F16" s="28">
        <v>30</v>
      </c>
      <c r="G16" s="59" t="s">
        <v>31</v>
      </c>
      <c r="H16" s="38">
        <f>IF($F16="",0,VLOOKUP($F16,Pkte_Handstand[],$H$2,1))</f>
        <v>10</v>
      </c>
    </row>
    <row r="17" spans="1:8" ht="15" outlineLevel="1" thickBot="1" x14ac:dyDescent="0.4">
      <c r="A17" s="112" t="s">
        <v>93</v>
      </c>
      <c r="B17" s="113"/>
      <c r="C17" s="114" t="s">
        <v>269</v>
      </c>
      <c r="D17" s="29"/>
      <c r="E17" s="115" t="s">
        <v>270</v>
      </c>
      <c r="F17" s="29"/>
      <c r="G17" s="60" t="s">
        <v>31</v>
      </c>
      <c r="H17" s="39">
        <f>IF($F17="",0,IF($F$1="weiblich",VLOOKUP((100*$D17+$F17),Pkte_Shuttle_W[],$H$2,1),VLOOKUP((100*$D17+$F17),Pkte_Shuttle_M[],$H$2,1)))</f>
        <v>0</v>
      </c>
    </row>
    <row r="18" spans="1:8" ht="15" thickBot="1" x14ac:dyDescent="0.4">
      <c r="A18" s="161" t="s">
        <v>40</v>
      </c>
      <c r="B18" s="162"/>
      <c r="C18" s="162"/>
      <c r="D18" s="162"/>
      <c r="E18" s="162"/>
      <c r="F18" s="162"/>
      <c r="G18" s="162"/>
      <c r="H18" s="48">
        <f>SUM(H11:H17)</f>
        <v>25</v>
      </c>
    </row>
    <row r="19" spans="1:8" ht="15" outlineLevel="1" thickBot="1" x14ac:dyDescent="0.4">
      <c r="A19" s="159" t="s">
        <v>26</v>
      </c>
      <c r="B19" s="160"/>
      <c r="C19" s="160"/>
      <c r="D19" s="85" t="s">
        <v>235</v>
      </c>
      <c r="E19" s="85" t="s">
        <v>238</v>
      </c>
      <c r="F19" s="85" t="s">
        <v>236</v>
      </c>
      <c r="G19" s="86" t="s">
        <v>28</v>
      </c>
      <c r="H19" s="49" t="s">
        <v>234</v>
      </c>
    </row>
    <row r="20" spans="1:8" outlineLevel="1" x14ac:dyDescent="0.35">
      <c r="A20" s="167" t="s">
        <v>148</v>
      </c>
      <c r="B20" s="168"/>
      <c r="C20" s="116" t="s">
        <v>277</v>
      </c>
      <c r="D20" s="90">
        <f>IF(F1="männlich",VLOOKUP(H2,Standsprünge!A3:C15,3,0),VLOOKUP(H2,Standsprünge!A3:B15,2,0))+IF(C20="Druckmessplatte",0)</f>
        <v>14.9</v>
      </c>
      <c r="E20" s="90"/>
      <c r="F20" s="67">
        <v>15.305</v>
      </c>
      <c r="G20" s="91" t="s">
        <v>149</v>
      </c>
      <c r="H20" s="88">
        <f>IF(F20="",0,(F20-D20)*10)</f>
        <v>4.0499999999999936</v>
      </c>
    </row>
    <row r="21" spans="1:8" outlineLevel="1" x14ac:dyDescent="0.35">
      <c r="A21" s="165" t="str">
        <f>IF(H2&gt;15,"entfällt","TBN")</f>
        <v>TBN</v>
      </c>
      <c r="B21" s="166"/>
      <c r="C21" s="77" t="s">
        <v>410</v>
      </c>
      <c r="D21" s="78">
        <v>9</v>
      </c>
      <c r="E21" s="78">
        <v>6</v>
      </c>
      <c r="F21" s="42">
        <v>4</v>
      </c>
      <c r="G21" s="71" t="str">
        <f>IF(H2&gt;16,"entfällt","Wert - Abzug")</f>
        <v>Wert - Abzug</v>
      </c>
      <c r="H21" s="66">
        <f>IF(A21="entfällt",0,IF(F21="",0,D21-F21))</f>
        <v>5</v>
      </c>
    </row>
    <row r="22" spans="1:8" outlineLevel="1" x14ac:dyDescent="0.35">
      <c r="A22" s="165" t="str">
        <f>IF(H2&gt;15,"entfällt","TBN")</f>
        <v>TBN</v>
      </c>
      <c r="B22" s="166"/>
      <c r="C22" s="77" t="s">
        <v>408</v>
      </c>
      <c r="D22" s="78">
        <v>9</v>
      </c>
      <c r="E22" s="78">
        <v>6</v>
      </c>
      <c r="F22" s="42">
        <v>6</v>
      </c>
      <c r="G22" s="71" t="str">
        <f>IF(H2&gt;16,"entfällt","Wert - Abzug")</f>
        <v>Wert - Abzug</v>
      </c>
      <c r="H22" s="66">
        <f t="shared" ref="H22:H28" si="0">IF(A22="entfällt",0,IF(F22="",0,D22-F22))</f>
        <v>3</v>
      </c>
    </row>
    <row r="23" spans="1:8" outlineLevel="1" x14ac:dyDescent="0.35">
      <c r="A23" s="165" t="str">
        <f>IF(H2&gt;11,"entfällt","TBN")</f>
        <v>entfällt</v>
      </c>
      <c r="B23" s="166"/>
      <c r="C23" s="77"/>
      <c r="D23" s="78" t="str">
        <f ca="1">IF(C23="","",VLOOKUP(C23,INDIRECT($C$57),2,0))</f>
        <v/>
      </c>
      <c r="E23" s="78" t="str">
        <f ca="1">IF(C23="","",VLOOKUP(C23,INDIRECT($C$57),3,0))</f>
        <v/>
      </c>
      <c r="F23" s="42"/>
      <c r="G23" s="71" t="str">
        <f>IF(H2&gt;16,"entfällt","Wert - Abzug")</f>
        <v>Wert - Abzug</v>
      </c>
      <c r="H23" s="66">
        <f t="shared" si="0"/>
        <v>0</v>
      </c>
    </row>
    <row r="24" spans="1:8" outlineLevel="1" x14ac:dyDescent="0.35">
      <c r="A24" s="110" t="s">
        <v>147</v>
      </c>
      <c r="B24" s="111"/>
      <c r="C24" s="77" t="s">
        <v>55</v>
      </c>
      <c r="D24" s="78">
        <v>12</v>
      </c>
      <c r="E24" s="78">
        <v>6</v>
      </c>
      <c r="F24" s="42">
        <v>4</v>
      </c>
      <c r="G24" s="71" t="s">
        <v>146</v>
      </c>
      <c r="H24" s="66">
        <f t="shared" si="0"/>
        <v>8</v>
      </c>
    </row>
    <row r="25" spans="1:8" outlineLevel="1" x14ac:dyDescent="0.35">
      <c r="A25" s="110" t="s">
        <v>147</v>
      </c>
      <c r="B25" s="111"/>
      <c r="C25" s="77" t="s">
        <v>58</v>
      </c>
      <c r="D25" s="78">
        <v>12</v>
      </c>
      <c r="E25" s="78">
        <v>6</v>
      </c>
      <c r="F25" s="42">
        <v>4</v>
      </c>
      <c r="G25" s="71" t="s">
        <v>146</v>
      </c>
      <c r="H25" s="66">
        <f t="shared" si="0"/>
        <v>8</v>
      </c>
    </row>
    <row r="26" spans="1:8" outlineLevel="1" x14ac:dyDescent="0.35">
      <c r="A26" s="110" t="s">
        <v>147</v>
      </c>
      <c r="B26" s="111"/>
      <c r="C26" s="77" t="s">
        <v>57</v>
      </c>
      <c r="D26" s="78">
        <v>11</v>
      </c>
      <c r="E26" s="78">
        <v>6</v>
      </c>
      <c r="F26" s="42">
        <v>4</v>
      </c>
      <c r="G26" s="71" t="s">
        <v>146</v>
      </c>
      <c r="H26" s="66">
        <f t="shared" si="0"/>
        <v>7</v>
      </c>
    </row>
    <row r="27" spans="1:8" outlineLevel="1" x14ac:dyDescent="0.35">
      <c r="A27" s="110" t="str">
        <f>IF(H2&gt;11,"TN","entfällt")</f>
        <v>TN</v>
      </c>
      <c r="B27" s="111"/>
      <c r="C27" s="77" t="s">
        <v>61</v>
      </c>
      <c r="D27" s="78">
        <v>13</v>
      </c>
      <c r="E27" s="78">
        <v>6</v>
      </c>
      <c r="F27" s="42">
        <v>4</v>
      </c>
      <c r="G27" s="71" t="str">
        <f>IF(H2&gt;12,"Wert - Abzug","entfällt")</f>
        <v>entfällt</v>
      </c>
      <c r="H27" s="66">
        <f t="shared" si="0"/>
        <v>9</v>
      </c>
    </row>
    <row r="28" spans="1:8" outlineLevel="1" x14ac:dyDescent="0.35">
      <c r="A28" s="110" t="str">
        <f>IF(H2&gt;15,"TN","entfällt")</f>
        <v>entfällt</v>
      </c>
      <c r="B28" s="111"/>
      <c r="C28" s="77"/>
      <c r="D28" s="78"/>
      <c r="E28" s="78"/>
      <c r="F28" s="42"/>
      <c r="G28" s="71" t="str">
        <f>IF(H2&gt;16,"Wert - Abzug","entfällt")</f>
        <v>entfällt</v>
      </c>
      <c r="H28" s="66">
        <f t="shared" si="0"/>
        <v>0</v>
      </c>
    </row>
    <row r="29" spans="1:8" outlineLevel="1" x14ac:dyDescent="0.35">
      <c r="A29" s="110" t="str">
        <f>IF(H2&gt;15,"TN","entfällt")</f>
        <v>entfällt</v>
      </c>
      <c r="B29" s="111"/>
      <c r="C29" s="77"/>
      <c r="D29" s="78"/>
      <c r="E29" s="78"/>
      <c r="F29" s="42"/>
      <c r="G29" s="71" t="str">
        <f>IF(H2&gt;16,"Wert - Abzug","entfällt")</f>
        <v>entfällt</v>
      </c>
      <c r="H29" s="66">
        <f>IF(A29="entfällt",0,IF(F29="",0,D29-F29))</f>
        <v>0</v>
      </c>
    </row>
    <row r="30" spans="1:8" outlineLevel="1" x14ac:dyDescent="0.35">
      <c r="A30" s="165" t="str">
        <f>IF($H$2&gt;10,"Verbindung Sprung 1","entfällt")</f>
        <v>Verbindung Sprung 1</v>
      </c>
      <c r="B30" s="166"/>
      <c r="C30" s="40" t="str">
        <f ca="1">IF(A30&lt;&gt;"entfällt",VLOOKUP(1,INDIRECT($C$68),2,0),"")</f>
        <v>40/</v>
      </c>
      <c r="D30" s="40">
        <f ca="1">IF(A30&lt;&gt;"entfällt",VLOOKUP(1,INDIRECT($C$68),3,0),"")</f>
        <v>6</v>
      </c>
      <c r="E30" s="40">
        <f ca="1">IF(A30&lt;&gt;"entfällt",VLOOKUP(1,INDIRECT($C$68),4,0),"")</f>
        <v>3</v>
      </c>
      <c r="F30" s="42"/>
      <c r="G30" s="71" t="str">
        <f>IF(H2&gt;12,"Wert - Abzug","entfällt")</f>
        <v>entfällt</v>
      </c>
      <c r="H30" s="66"/>
    </row>
    <row r="31" spans="1:8" outlineLevel="1" x14ac:dyDescent="0.35">
      <c r="A31" s="165" t="str">
        <f>IF($H$2&gt;10,"Verbindung Sprung 2","entfällt")</f>
        <v>Verbindung Sprung 2</v>
      </c>
      <c r="B31" s="166"/>
      <c r="C31" s="40" t="str">
        <f ca="1">IF(A31&lt;&gt;"entfällt",VLOOKUP(2,INDIRECT($C$68),2,0),"")</f>
        <v>41/</v>
      </c>
      <c r="D31" s="40">
        <f ca="1">IF(A31&lt;&gt;"entfällt",VLOOKUP(2,INDIRECT($C$68),3,0),"")</f>
        <v>6</v>
      </c>
      <c r="E31" s="40">
        <f ca="1">IF(A31&lt;&gt;"entfällt",VLOOKUP(2,INDIRECT($C$68),4,0),"")</f>
        <v>3</v>
      </c>
      <c r="F31" s="42"/>
      <c r="G31" s="71" t="str">
        <f>IF(H2&gt;12,"Wert - Abzug","entfällt")</f>
        <v>entfällt</v>
      </c>
      <c r="H31" s="66"/>
    </row>
    <row r="32" spans="1:8" outlineLevel="1" x14ac:dyDescent="0.35">
      <c r="A32" s="165" t="str">
        <f>IF($H$2&gt;10,"Verbindung Sprung 3","entfällt")</f>
        <v>Verbindung Sprung 3</v>
      </c>
      <c r="B32" s="166"/>
      <c r="C32" s="40" t="str">
        <f ca="1">IF(A32&lt;&gt;"entfällt",VLOOKUP(3,INDIRECT($C$68),2,0),"")</f>
        <v>42/</v>
      </c>
      <c r="D32" s="40">
        <f ca="1">IF(A32&lt;&gt;"entfällt",VLOOKUP(3,INDIRECT($C$68),3,0),"")</f>
        <v>7</v>
      </c>
      <c r="E32" s="40">
        <f ca="1">IF(A32&lt;&gt;"entfällt",VLOOKUP(3,INDIRECT($C$68),4,0),"")</f>
        <v>3</v>
      </c>
      <c r="F32" s="42"/>
      <c r="G32" s="71" t="str">
        <f>IF(H2&gt;12,"Wert - Abzug","entfällt")</f>
        <v>entfällt</v>
      </c>
      <c r="H32" s="66"/>
    </row>
    <row r="33" spans="1:8" outlineLevel="1" x14ac:dyDescent="0.35">
      <c r="A33" s="165" t="str">
        <f>IF($H$2&gt;10,"Verbindung Sprung 4","entfällt")</f>
        <v>Verbindung Sprung 4</v>
      </c>
      <c r="B33" s="166"/>
      <c r="C33" s="40" t="str">
        <f ca="1">IF(A33&lt;&gt;"entfällt",VLOOKUP(4,INDIRECT($C$68),2,0),"")</f>
        <v>40°</v>
      </c>
      <c r="D33" s="40">
        <f ca="1">IF(A33&lt;&gt;"entfällt",VLOOKUP(4,INDIRECT($C$68),3,0),"")</f>
        <v>5</v>
      </c>
      <c r="E33" s="40">
        <f ca="1">IF(A33&lt;&gt;"entfällt",VLOOKUP(4,INDIRECT($C$68),4,0),"")</f>
        <v>3</v>
      </c>
      <c r="F33" s="42"/>
      <c r="G33" s="71" t="str">
        <f>IF(H2&gt;12,"Wert - Abzug","entfällt")</f>
        <v>entfällt</v>
      </c>
      <c r="H33" s="66"/>
    </row>
    <row r="34" spans="1:8" outlineLevel="1" x14ac:dyDescent="0.35">
      <c r="A34" s="165" t="str">
        <f>IF($H$2&gt;10,"Verbindung Sprung 5","entfällt")</f>
        <v>Verbindung Sprung 5</v>
      </c>
      <c r="B34" s="166"/>
      <c r="C34" s="40" t="str">
        <f ca="1">IF(A34&lt;&gt;"entfällt",VLOOKUP(5,INDIRECT($C$68),2,0),"")</f>
        <v>41°</v>
      </c>
      <c r="D34" s="40">
        <f ca="1">IF(A34&lt;&gt;"entfällt",VLOOKUP(5,INDIRECT($C$68),3,0),"")</f>
        <v>6</v>
      </c>
      <c r="E34" s="40">
        <f ca="1">IF(A34&lt;&gt;"entfällt",VLOOKUP(5,INDIRECT($C$68),4,0),"")</f>
        <v>3</v>
      </c>
      <c r="F34" s="42"/>
      <c r="G34" s="71" t="str">
        <f>IF(H2&gt;12,"Wert - Abzug","entfällt")</f>
        <v>entfällt</v>
      </c>
      <c r="H34" s="66"/>
    </row>
    <row r="35" spans="1:8" ht="15" outlineLevel="1" thickBot="1" x14ac:dyDescent="0.4">
      <c r="A35" s="171" t="str">
        <f>IF($H$2&gt;10,"Verbindung Sprung 6","entfällt")</f>
        <v>Verbindung Sprung 6</v>
      </c>
      <c r="B35" s="172"/>
      <c r="C35" s="68" t="str">
        <f ca="1">IF(A35&lt;&gt;"entfällt",VLOOKUP(6,INDIRECT($C$68),2,0),"")</f>
        <v>800°</v>
      </c>
      <c r="D35" s="68">
        <f ca="1">IF(A35&lt;&gt;"entfällt",VLOOKUP(6,INDIRECT($C$68),3,0),"")</f>
        <v>10</v>
      </c>
      <c r="E35" s="68">
        <f ca="1">IF(A35&lt;&gt;"entfällt",VLOOKUP(6,INDIRECT($C$68),4,0),"")</f>
        <v>3</v>
      </c>
      <c r="F35" s="69"/>
      <c r="G35" s="72" t="str">
        <f>IF(H2&gt;12,"Wert - Abzug","entfällt")</f>
        <v>entfällt</v>
      </c>
      <c r="H35" s="70">
        <f>30-F30-F31-F32-F33-F34-F35</f>
        <v>30</v>
      </c>
    </row>
    <row r="36" spans="1:8" ht="15" thickBot="1" x14ac:dyDescent="0.4">
      <c r="A36" s="173" t="s">
        <v>41</v>
      </c>
      <c r="B36" s="174"/>
      <c r="C36" s="174"/>
      <c r="D36" s="174"/>
      <c r="E36" s="174"/>
      <c r="F36" s="174"/>
      <c r="G36" s="175"/>
      <c r="H36" s="89">
        <f>SUM(H20:H35)</f>
        <v>74.05</v>
      </c>
    </row>
    <row r="37" spans="1:8" ht="15" outlineLevel="1" thickBot="1" x14ac:dyDescent="0.4">
      <c r="A37" s="181" t="s">
        <v>99</v>
      </c>
      <c r="B37" s="182"/>
      <c r="C37" s="182"/>
      <c r="D37" s="183"/>
      <c r="E37" s="85" t="s">
        <v>27</v>
      </c>
      <c r="F37" s="85" t="s">
        <v>237</v>
      </c>
      <c r="G37" s="86" t="s">
        <v>28</v>
      </c>
      <c r="H37" s="49" t="s">
        <v>234</v>
      </c>
    </row>
    <row r="38" spans="1:8" outlineLevel="1" x14ac:dyDescent="0.35">
      <c r="A38" s="179" t="str">
        <f ca="1">VLOOKUP(1,INDIRECT($C$65),2,0)</f>
        <v>Salto vorwärts mit Anlauf</v>
      </c>
      <c r="B38" s="180"/>
      <c r="C38" s="180"/>
      <c r="D38" s="180"/>
      <c r="E38" s="92">
        <f ca="1">VLOOKUP(1,INDIRECT($C$65),3,0)</f>
        <v>3</v>
      </c>
      <c r="F38" s="79">
        <v>0</v>
      </c>
      <c r="G38" s="80" t="s">
        <v>146</v>
      </c>
      <c r="H38" s="84">
        <f ca="1">IF(E38=" ","",IF(F38="",0,E38-F38))</f>
        <v>3</v>
      </c>
    </row>
    <row r="39" spans="1:8" outlineLevel="1" x14ac:dyDescent="0.35">
      <c r="A39" s="163" t="str">
        <f ca="1">VLOOKUP(2,INDIRECT($C$65),2,0)</f>
        <v>Handstand, 1/1 Drehung, Abrollen</v>
      </c>
      <c r="B39" s="164"/>
      <c r="C39" s="164"/>
      <c r="D39" s="164"/>
      <c r="E39" s="87">
        <f ca="1">VLOOKUP(2,INDIRECT($C$65),3,0)</f>
        <v>3</v>
      </c>
      <c r="F39" s="43">
        <v>1</v>
      </c>
      <c r="G39" s="81" t="s">
        <v>146</v>
      </c>
      <c r="H39" s="84">
        <f t="shared" ref="H39:H49" ca="1" si="1">IF(E39=" ","",IF(F39="",0,E39-F39))</f>
        <v>2</v>
      </c>
    </row>
    <row r="40" spans="1:8" outlineLevel="1" x14ac:dyDescent="0.35">
      <c r="A40" s="163" t="str">
        <f ca="1">VLOOKUP(3,INDIRECT($C$65),2,0)</f>
        <v>Strecksprung 1/2 Drehung</v>
      </c>
      <c r="B40" s="164"/>
      <c r="C40" s="164"/>
      <c r="D40" s="164"/>
      <c r="E40" s="87">
        <f ca="1">VLOOKUP(3,INDIRECT($C$65),3,0)</f>
        <v>1.5</v>
      </c>
      <c r="F40" s="43">
        <v>0</v>
      </c>
      <c r="G40" s="81" t="s">
        <v>146</v>
      </c>
      <c r="H40" s="84">
        <f t="shared" ca="1" si="1"/>
        <v>1.5</v>
      </c>
    </row>
    <row r="41" spans="1:8" outlineLevel="1" x14ac:dyDescent="0.35">
      <c r="A41" s="163" t="str">
        <f ca="1">VLOOKUP(4,INDIRECT($C$65),2,0)</f>
        <v>Vorspreizen, Handstandhüpfer, Abrollen Grätschsitz</v>
      </c>
      <c r="B41" s="164"/>
      <c r="C41" s="164"/>
      <c r="D41" s="164"/>
      <c r="E41" s="87">
        <f ca="1">VLOOKUP(4,INDIRECT($C$65),3,0)</f>
        <v>1.5</v>
      </c>
      <c r="F41" s="43">
        <v>0.5</v>
      </c>
      <c r="G41" s="81" t="s">
        <v>146</v>
      </c>
      <c r="H41" s="84">
        <f t="shared" ca="1" si="1"/>
        <v>1</v>
      </c>
    </row>
    <row r="42" spans="1:8" outlineLevel="1" x14ac:dyDescent="0.35">
      <c r="A42" s="163" t="str">
        <f ca="1">VLOOKUP(5,INDIRECT($C$65),2,0)</f>
        <v>Briefmarke, Rückgrätschen --&gt; Bauchlage</v>
      </c>
      <c r="B42" s="164"/>
      <c r="C42" s="164"/>
      <c r="D42" s="164"/>
      <c r="E42" s="87">
        <f ca="1">VLOOKUP(5,INDIRECT($C$65),3,0)</f>
        <v>3</v>
      </c>
      <c r="F42" s="43">
        <v>3</v>
      </c>
      <c r="G42" s="81" t="s">
        <v>146</v>
      </c>
      <c r="H42" s="84">
        <f t="shared" ca="1" si="1"/>
        <v>0</v>
      </c>
    </row>
    <row r="43" spans="1:8" outlineLevel="1" x14ac:dyDescent="0.35">
      <c r="A43" s="163" t="str">
        <f ca="1">VLOOKUP(6,INDIRECT($C$65),2,0)</f>
        <v>Kniestand, Abdrücken gebückt --&gt; Handstand, abrollen</v>
      </c>
      <c r="B43" s="164"/>
      <c r="C43" s="164"/>
      <c r="D43" s="164"/>
      <c r="E43" s="87">
        <f ca="1">VLOOKUP(6,INDIRECT($C$65),3,0)</f>
        <v>3</v>
      </c>
      <c r="F43" s="43">
        <v>3</v>
      </c>
      <c r="G43" s="81" t="s">
        <v>146</v>
      </c>
      <c r="H43" s="84">
        <f t="shared" ca="1" si="1"/>
        <v>0</v>
      </c>
    </row>
    <row r="44" spans="1:8" outlineLevel="1" x14ac:dyDescent="0.35">
      <c r="A44" s="163" t="str">
        <f ca="1">VLOOKUP(7,INDIRECT($C$65),2,0)</f>
        <v>Vorspreizen, Standwaage --&gt; abrollen, einbeinig rechts auf</v>
      </c>
      <c r="B44" s="164"/>
      <c r="C44" s="164"/>
      <c r="D44" s="164"/>
      <c r="E44" s="87">
        <f ca="1">VLOOKUP(7,INDIRECT($C$65),3,0)</f>
        <v>3.5</v>
      </c>
      <c r="F44" s="43">
        <v>3</v>
      </c>
      <c r="G44" s="81" t="s">
        <v>146</v>
      </c>
      <c r="H44" s="84">
        <f t="shared" ca="1" si="1"/>
        <v>0.5</v>
      </c>
    </row>
    <row r="45" spans="1:8" outlineLevel="1" x14ac:dyDescent="0.35">
      <c r="A45" s="163" t="str">
        <f ca="1">VLOOKUP(8,INDIRECT($C$65),2,0)</f>
        <v>Vorspreizen, Standwaage --&gt; abrollen, einbeinig links auf</v>
      </c>
      <c r="B45" s="164"/>
      <c r="C45" s="164"/>
      <c r="D45" s="164"/>
      <c r="E45" s="87">
        <f ca="1">VLOOKUP(8,INDIRECT($C$65),3,0)</f>
        <v>3.5</v>
      </c>
      <c r="F45" s="43">
        <v>3</v>
      </c>
      <c r="G45" s="81" t="s">
        <v>146</v>
      </c>
      <c r="H45" s="84">
        <f t="shared" ca="1" si="1"/>
        <v>0.5</v>
      </c>
    </row>
    <row r="46" spans="1:8" outlineLevel="1" x14ac:dyDescent="0.35">
      <c r="A46" s="163" t="str">
        <f ca="1">VLOOKUP(9,INDIRECT($C$65),2,0)</f>
        <v>Rolle rückwärts durch Handstand</v>
      </c>
      <c r="B46" s="164"/>
      <c r="C46" s="164"/>
      <c r="D46" s="164"/>
      <c r="E46" s="87">
        <f ca="1">VLOOKUP(9,INDIRECT($C$65),3,0)</f>
        <v>3</v>
      </c>
      <c r="F46" s="43">
        <v>1.5</v>
      </c>
      <c r="G46" s="81" t="str">
        <f>IF(H2&gt;16,"","Wert - Abzug")</f>
        <v>Wert - Abzug</v>
      </c>
      <c r="H46" s="84">
        <f t="shared" ca="1" si="1"/>
        <v>1.5</v>
      </c>
    </row>
    <row r="47" spans="1:8" outlineLevel="1" x14ac:dyDescent="0.35">
      <c r="A47" s="163" t="str">
        <f ca="1">VLOOKUP(10,INDIRECT($C$65),2,0)</f>
        <v>Strecksprung 1/2 Drehung</v>
      </c>
      <c r="B47" s="164"/>
      <c r="C47" s="164"/>
      <c r="D47" s="164"/>
      <c r="E47" s="87">
        <f ca="1">VLOOKUP(10,INDIRECT($C$65),3,0)</f>
        <v>1</v>
      </c>
      <c r="F47" s="43">
        <v>0</v>
      </c>
      <c r="G47" s="81" t="str">
        <f>IF(H2&gt;16,"","Wert - Abzug")</f>
        <v>Wert - Abzug</v>
      </c>
      <c r="H47" s="84">
        <f t="shared" ca="1" si="1"/>
        <v>1</v>
      </c>
    </row>
    <row r="48" spans="1:8" outlineLevel="1" x14ac:dyDescent="0.35">
      <c r="A48" s="163" t="str">
        <f ca="1">VLOOKUP(11,INDIRECT($C$65),2,0)</f>
        <v>Sprungrolle mit Anlauf</v>
      </c>
      <c r="B48" s="164"/>
      <c r="C48" s="164"/>
      <c r="D48" s="164"/>
      <c r="E48" s="87">
        <f ca="1">VLOOKUP(11,INDIRECT($C$65),3,0)</f>
        <v>2</v>
      </c>
      <c r="F48" s="43">
        <v>0</v>
      </c>
      <c r="G48" s="81" t="str">
        <f>IF(H2&gt;13,"","Wert - Abzug")</f>
        <v>Wert - Abzug</v>
      </c>
      <c r="H48" s="84">
        <f t="shared" ca="1" si="1"/>
        <v>2</v>
      </c>
    </row>
    <row r="49" spans="1:8" ht="15" outlineLevel="1" thickBot="1" x14ac:dyDescent="0.4">
      <c r="A49" s="184" t="str">
        <f ca="1">VLOOKUP(12,INDIRECT($C$65),2,0)</f>
        <v>Strecksprung 1/1 Drehung</v>
      </c>
      <c r="B49" s="185"/>
      <c r="C49" s="185"/>
      <c r="D49" s="185"/>
      <c r="E49" s="93">
        <f ca="1">VLOOKUP(12,INDIRECT($C$65),3,0)</f>
        <v>2</v>
      </c>
      <c r="F49" s="82">
        <v>1</v>
      </c>
      <c r="G49" s="83" t="str">
        <f>IF(OR(H2=9,H2=12,H2=13),"Wert - Abzug","")</f>
        <v>Wert - Abzug</v>
      </c>
      <c r="H49" s="84">
        <f t="shared" ca="1" si="1"/>
        <v>1</v>
      </c>
    </row>
    <row r="50" spans="1:8" ht="15" thickBot="1" x14ac:dyDescent="0.4">
      <c r="A50" s="176" t="s">
        <v>98</v>
      </c>
      <c r="B50" s="177"/>
      <c r="C50" s="177"/>
      <c r="D50" s="177"/>
      <c r="E50" s="177"/>
      <c r="F50" s="177"/>
      <c r="G50" s="178"/>
      <c r="H50" s="44">
        <f ca="1">SUM(H38:H49)</f>
        <v>14</v>
      </c>
    </row>
    <row r="51" spans="1:8" ht="16" thickBot="1" x14ac:dyDescent="0.4">
      <c r="A51" s="169" t="s">
        <v>42</v>
      </c>
      <c r="B51" s="170"/>
      <c r="C51" s="170"/>
      <c r="D51" s="170"/>
      <c r="E51" s="170"/>
      <c r="F51" s="170"/>
      <c r="G51" s="170"/>
      <c r="H51" s="94">
        <f ca="1">SUM(H9,H18,H36,H50)</f>
        <v>142.05000000000001</v>
      </c>
    </row>
    <row r="52" spans="1:8" s="23" customFormat="1" x14ac:dyDescent="0.35">
      <c r="D52" s="50"/>
      <c r="E52" s="50"/>
      <c r="F52" s="50"/>
      <c r="G52" s="50"/>
    </row>
    <row r="53" spans="1:8" s="23" customFormat="1" hidden="1" x14ac:dyDescent="0.35">
      <c r="C53" s="24"/>
      <c r="D53" s="50"/>
      <c r="E53" s="50"/>
      <c r="F53" s="50"/>
      <c r="G53" s="50"/>
    </row>
    <row r="54" spans="1:8" s="23" customFormat="1" hidden="1" x14ac:dyDescent="0.35">
      <c r="B54" s="23" t="s">
        <v>249</v>
      </c>
      <c r="C54" s="23" t="str">
        <f>IF(H2&lt;13,"beide",F1)</f>
        <v>beide</v>
      </c>
      <c r="D54" s="50"/>
      <c r="E54" s="50"/>
      <c r="F54" s="50"/>
      <c r="G54" s="50"/>
    </row>
    <row r="55" spans="1:8" s="23" customFormat="1" hidden="1" x14ac:dyDescent="0.35">
      <c r="B55" s="23" t="s">
        <v>3</v>
      </c>
      <c r="C55" s="23" t="str">
        <f>IF(OR(H2=8,H2=11),H2,IF(H2&lt;11,"9_10",IF(H2&lt;14,"12_13",IF(H2&lt;16,"14_15",IF(H2&lt;18,"16_17",18)))))</f>
        <v>12_13</v>
      </c>
      <c r="D55" s="50"/>
      <c r="E55" s="50"/>
      <c r="F55" s="50"/>
      <c r="G55" s="50"/>
    </row>
    <row r="56" spans="1:8" s="23" customFormat="1" hidden="1" x14ac:dyDescent="0.35">
      <c r="D56" s="50"/>
      <c r="E56" s="50"/>
      <c r="F56" s="50"/>
      <c r="G56" s="50"/>
    </row>
    <row r="57" spans="1:8" s="23" customFormat="1" hidden="1" x14ac:dyDescent="0.35">
      <c r="B57" s="23" t="s">
        <v>251</v>
      </c>
      <c r="C57" s="23" t="str">
        <f>"TBN_"&amp;C54&amp;"_"&amp;C55</f>
        <v>TBN_beide_12_13</v>
      </c>
      <c r="D57" s="50"/>
      <c r="E57" s="50"/>
      <c r="F57" s="50"/>
      <c r="G57" s="50"/>
    </row>
    <row r="58" spans="1:8" s="23" customFormat="1" hidden="1" x14ac:dyDescent="0.35">
      <c r="C58" s="23" t="str">
        <f>C57&amp;"[Beschreibung]"</f>
        <v>TBN_beide_12_13[Beschreibung]</v>
      </c>
      <c r="D58" s="50"/>
      <c r="E58" s="50"/>
      <c r="F58" s="50"/>
      <c r="G58" s="50"/>
    </row>
    <row r="59" spans="1:8" s="23" customFormat="1" hidden="1" x14ac:dyDescent="0.35">
      <c r="D59" s="50"/>
      <c r="E59" s="50"/>
      <c r="F59" s="50"/>
      <c r="G59" s="50"/>
    </row>
    <row r="60" spans="1:8" s="23" customFormat="1" hidden="1" x14ac:dyDescent="0.35">
      <c r="B60" s="23" t="s">
        <v>147</v>
      </c>
      <c r="C60" s="23" t="str">
        <f>"TN_"&amp;C54&amp;"_"&amp;C55</f>
        <v>TN_beide_12_13</v>
      </c>
      <c r="D60" s="50"/>
      <c r="E60" s="50"/>
      <c r="F60" s="50"/>
      <c r="G60" s="50"/>
    </row>
    <row r="61" spans="1:8" s="23" customFormat="1" hidden="1" x14ac:dyDescent="0.35">
      <c r="C61" s="23" t="str">
        <f>C60&amp;"[Beschreibung]"</f>
        <v>TN_beide_12_13[Beschreibung]</v>
      </c>
      <c r="D61" s="50"/>
      <c r="E61" s="50"/>
      <c r="F61" s="50"/>
      <c r="G61" s="50"/>
    </row>
    <row r="62" spans="1:8" s="23" customFormat="1" hidden="1" x14ac:dyDescent="0.35">
      <c r="D62" s="50"/>
      <c r="E62" s="50"/>
      <c r="F62" s="50"/>
      <c r="G62" s="50"/>
    </row>
    <row r="63" spans="1:8" s="23" customFormat="1" hidden="1" x14ac:dyDescent="0.35">
      <c r="B63" s="23" t="s">
        <v>17</v>
      </c>
      <c r="C63" s="23" t="str">
        <f>"TV_"&amp;F1&amp;"_"&amp;C55</f>
        <v>TV_männlich_12_13</v>
      </c>
      <c r="D63" s="50"/>
      <c r="E63" s="50"/>
      <c r="F63" s="50"/>
      <c r="G63" s="50"/>
    </row>
    <row r="64" spans="1:8" s="23" customFormat="1" hidden="1" x14ac:dyDescent="0.35">
      <c r="D64" s="50"/>
      <c r="E64" s="50"/>
      <c r="F64" s="50"/>
      <c r="G64" s="50"/>
    </row>
    <row r="65" spans="2:7" s="23" customFormat="1" hidden="1" x14ac:dyDescent="0.35">
      <c r="B65" s="23" t="s">
        <v>252</v>
      </c>
      <c r="C65" s="23" t="str">
        <f>"BKÜ"&amp;IF(H2=9,"_9",IF(H2&lt;12,"_10_11",IF(H2&lt;14,"_12_13",IF(H2&lt;17,"_14_16","_17"))))</f>
        <v>BKÜ_12_13</v>
      </c>
      <c r="D65" s="50"/>
      <c r="E65" s="50"/>
      <c r="F65" s="50"/>
      <c r="G65" s="50"/>
    </row>
    <row r="66" spans="2:7" s="23" customFormat="1" hidden="1" x14ac:dyDescent="0.35">
      <c r="D66" s="50"/>
      <c r="E66" s="50"/>
      <c r="F66" s="50"/>
      <c r="G66" s="50"/>
    </row>
    <row r="67" spans="2:7" s="23" customFormat="1" hidden="1" x14ac:dyDescent="0.35">
      <c r="B67" s="23" t="s">
        <v>250</v>
      </c>
      <c r="C67" s="23" t="str">
        <f>IF(H2&lt;17,"beide",F1)</f>
        <v>beide</v>
      </c>
      <c r="D67" s="50"/>
      <c r="E67" s="50"/>
      <c r="F67" s="50"/>
      <c r="G67" s="50"/>
    </row>
    <row r="68" spans="2:7" s="23" customFormat="1" hidden="1" x14ac:dyDescent="0.35">
      <c r="B68" s="23" t="s">
        <v>17</v>
      </c>
      <c r="C68" s="23" t="str">
        <f>"TV_"&amp;C67&amp;"_"&amp;C55</f>
        <v>TV_beide_12_13</v>
      </c>
      <c r="D68" s="50"/>
      <c r="E68" s="50"/>
      <c r="F68" s="50"/>
      <c r="G68" s="50"/>
    </row>
    <row r="69" spans="2:7" x14ac:dyDescent="0.35"/>
    <row r="70" spans="2:7" x14ac:dyDescent="0.35"/>
  </sheetData>
  <sheetProtection algorithmName="SHA-512" hashValue="CbuTQn931y0c8yMdJBXUqkCD9NUFCpMYQDhPPvT7bC5MoD6/qbEQjdBz1OQfXMVNJICvfCo6nAKRcGRpPFsIWw==" saltValue="pkRv3jxDpKlSM/RZox4GoA==" spinCount="100000" sheet="1" objects="1" scenarios="1" selectLockedCells="1"/>
  <protectedRanges>
    <protectedRange sqref="H1:H2 F1:F2 B1:B2" name="Athletendaten"/>
    <protectedRange sqref="F38:F49 C20:F35 D69:E440 C69:C441 F4:F8 C38:E68 C11:E16 F11:F17" name="Werte und Varianten"/>
    <protectedRange algorithmName="SHA-512" hashValue="EtPG7jm6pk6JVG08ToKZL4Sto4PS6TOUsygvFmj6DTfcGnX6DwKdfjTEg/2X1Hwnu/CwfNhBUSnXKs/oLqcupQ==" saltValue="sPse4fdTsI5OFESYvRIl8Q==" spinCount="100000" sqref="H4:H8 H38:H49 H20:H35 H11:H17" name="Punktzahlen"/>
  </protectedRanges>
  <mergeCells count="44">
    <mergeCell ref="A12:E12"/>
    <mergeCell ref="B1:E1"/>
    <mergeCell ref="B2:F2"/>
    <mergeCell ref="A3:E3"/>
    <mergeCell ref="A4:E4"/>
    <mergeCell ref="A5:E5"/>
    <mergeCell ref="A6:E6"/>
    <mergeCell ref="A7:E7"/>
    <mergeCell ref="A8:E8"/>
    <mergeCell ref="A9:G9"/>
    <mergeCell ref="A10:E10"/>
    <mergeCell ref="A11:E11"/>
    <mergeCell ref="A31:B31"/>
    <mergeCell ref="A13:E13"/>
    <mergeCell ref="A14:E14"/>
    <mergeCell ref="A15:E15"/>
    <mergeCell ref="A16:E16"/>
    <mergeCell ref="A18:G18"/>
    <mergeCell ref="A19:C19"/>
    <mergeCell ref="A20:B20"/>
    <mergeCell ref="A21:B21"/>
    <mergeCell ref="A22:B22"/>
    <mergeCell ref="A23:B23"/>
    <mergeCell ref="A30:B30"/>
    <mergeCell ref="A43:D43"/>
    <mergeCell ref="A32:B32"/>
    <mergeCell ref="A33:B33"/>
    <mergeCell ref="A34:B34"/>
    <mergeCell ref="A35:B35"/>
    <mergeCell ref="A36:G36"/>
    <mergeCell ref="A37:D37"/>
    <mergeCell ref="A38:D38"/>
    <mergeCell ref="A39:D39"/>
    <mergeCell ref="A40:D40"/>
    <mergeCell ref="A41:D41"/>
    <mergeCell ref="A42:D42"/>
    <mergeCell ref="A50:G50"/>
    <mergeCell ref="A51:G51"/>
    <mergeCell ref="A44:D44"/>
    <mergeCell ref="A45:D45"/>
    <mergeCell ref="A46:D46"/>
    <mergeCell ref="A47:D47"/>
    <mergeCell ref="A48:D48"/>
    <mergeCell ref="A49:D49"/>
  </mergeCells>
  <conditionalFormatting sqref="F46:F49">
    <cfRule type="expression" dxfId="280" priority="5">
      <formula>$A46=" "</formula>
    </cfRule>
  </conditionalFormatting>
  <conditionalFormatting sqref="B24:B29 C21:E23 C28:E29 D24:E27">
    <cfRule type="expression" dxfId="279" priority="4">
      <formula>$A21="entfällt"</formula>
    </cfRule>
    <cfRule type="expression" dxfId="278" priority="6">
      <formula>$H$2&gt;14</formula>
    </cfRule>
  </conditionalFormatting>
  <conditionalFormatting sqref="B24:B29">
    <cfRule type="expression" dxfId="277" priority="3">
      <formula>AND($A24="TN",$C24&lt;&gt;"")</formula>
    </cfRule>
  </conditionalFormatting>
  <conditionalFormatting sqref="C24:C27">
    <cfRule type="expression" dxfId="276" priority="1">
      <formula>$A24="entfällt"</formula>
    </cfRule>
    <cfRule type="expression" dxfId="275" priority="2">
      <formula>$H$2&gt;14</formula>
    </cfRule>
  </conditionalFormatting>
  <dataValidations count="19">
    <dataValidation type="decimal" errorStyle="warning" allowBlank="1" showInputMessage="1" showErrorMessage="1" error="Eingegebener Abzug überschreitet maximal zulässigen Abzug, Wert bitte überprüfen!" sqref="F21:F35" xr:uid="{B556B387-BE09-41DA-8392-62253EAE563D}">
      <formula1>0</formula1>
      <formula2>$E21</formula2>
    </dataValidation>
    <dataValidation type="list" allowBlank="1" showInputMessage="1" showErrorMessage="1" sqref="C20" xr:uid="{6AD3842C-64DB-4FB5-92FF-F4BAA1AD3C3D}">
      <formula1>"Lichtschranke,Druckmessplatte"</formula1>
    </dataValidation>
    <dataValidation type="whole" allowBlank="1" showInputMessage="1" showErrorMessage="1" errorTitle="Falsche Eingabe" error="Bitte Wert prüfen" sqref="D17" xr:uid="{4F8F2888-4289-4264-9937-B33F3522F01D}">
      <formula1>1</formula1>
      <formula2>13</formula2>
    </dataValidation>
    <dataValidation type="list" allowBlank="1" showInputMessage="1" sqref="C24:C29" xr:uid="{352B7AE9-A92F-48D5-862B-809A8521F10F}">
      <formula1>INDIRECT($C$61)</formula1>
    </dataValidation>
    <dataValidation type="list" allowBlank="1" showInputMessage="1" sqref="C21:C23" xr:uid="{01FAFBB2-FF67-4B49-9135-79EE4515BA13}">
      <formula1>INDIRECT($C$58)</formula1>
    </dataValidation>
    <dataValidation allowBlank="1" showInputMessage="1" showErrorMessage="1" prompt="Anzahl der Wiederholungen" sqref="F11" xr:uid="{041BD5A2-A112-4684-BC26-4BCEB51A591A}"/>
    <dataValidation type="whole" allowBlank="1" showInputMessage="1" showErrorMessage="1" prompt="Abstand von der Oberkante des Turnhockers zur schlechtesten Fingerspitze in cm" sqref="F6" xr:uid="{B86CEF30-0E98-49A0-9E78-828A937D1D95}">
      <formula1>-50</formula1>
      <formula2>50</formula2>
    </dataValidation>
    <dataValidation type="list" allowBlank="1" showInputMessage="1" showErrorMessage="1" prompt="Punktzahl nach Vergleich mit Bild" sqref="F5" xr:uid="{6655C3D5-DA5B-4752-8759-D676415DF14D}">
      <formula1>"0,2,6,10"</formula1>
    </dataValidation>
    <dataValidation type="whole" allowBlank="1" showErrorMessage="1" errorTitle="Falsche Eingabe" error="Bitte Wert prüfen" prompt="Höchste erreichte Stufe" sqref="F17" xr:uid="{98C959E1-CCD0-4C87-B8A5-8AC0C8B1DB24}">
      <formula1>1</formula1>
      <formula2>11</formula2>
    </dataValidation>
    <dataValidation allowBlank="1" sqref="D20:E20" xr:uid="{1F2EE2B0-548E-47A9-A210-951F3C64D3F6}"/>
    <dataValidation type="decimal" errorStyle="warning" allowBlank="1" showInputMessage="1" showErrorMessage="1" error="Abzug höher als Wert des Elements, bitte überprüfen!" prompt="Abzug" sqref="F38:F49" xr:uid="{DEBD4F5F-220C-4C81-A211-5C3143EC6E60}">
      <formula1>0</formula1>
      <formula2>$E38</formula2>
    </dataValidation>
    <dataValidation type="whole" allowBlank="1" showInputMessage="1" showErrorMessage="1" prompt="AKs 9 - 13: Übersprungene Kästchen_x000a__x000a_AKs 14 - 21: Anzahl Saltos" sqref="F15" xr:uid="{83345DAE-0A89-4CF4-8917-EEA1A2666FE4}">
      <formula1>0</formula1>
      <formula2>50</formula2>
    </dataValidation>
    <dataValidation type="list" allowBlank="1" showInputMessage="1" showErrorMessage="1" sqref="F1" xr:uid="{C56EEB7C-684E-4B34-8C6B-C828B48CF574}">
      <formula1>"männlich,weiblich"</formula1>
    </dataValidation>
    <dataValidation type="whole" allowBlank="1" showInputMessage="1" showErrorMessage="1" sqref="H4:H8" xr:uid="{61E6B2C1-7F66-431D-820E-FFE3AFF0882B}">
      <formula1>0</formula1>
      <formula2>10</formula2>
    </dataValidation>
    <dataValidation type="whole" allowBlank="1" showInputMessage="1" showErrorMessage="1" prompt="Haltezeit in Sekunden" sqref="F13" xr:uid="{0EA70679-5D36-46ED-81C6-D2C83628FDEB}">
      <formula1>0</formula1>
      <formula2>200</formula2>
    </dataValidation>
    <dataValidation type="whole" allowBlank="1" showInputMessage="1" showErrorMessage="1" prompt="Haltezeit in Sekunden" sqref="F16" xr:uid="{737F9953-A800-478C-9099-878D65689DE3}">
      <formula1>0</formula1>
      <formula2>100</formula2>
    </dataValidation>
    <dataValidation type="whole" allowBlank="1" showInputMessage="1" showErrorMessage="1" prompt="Anzahl der Wiederholungen" sqref="F14 F12" xr:uid="{B64899D0-FC3E-4387-8FB3-90F3540BC9B2}">
      <formula1>0</formula1>
      <formula2>50</formula2>
    </dataValidation>
    <dataValidation type="list" operator="equal" allowBlank="1" showInputMessage="1" showErrorMessage="1" prompt="Punktzahl nach Vergleich mit Bild" sqref="F4" xr:uid="{2DF80754-6706-46AE-A15B-F1423A245954}">
      <formula1>"0,2,6,10"</formula1>
    </dataValidation>
    <dataValidation type="decimal" errorStyle="warning" showDropDown="1" showErrorMessage="1" error="Wert unrealistisch hoch, bitte Eingabe überprüfen" promptTitle="Vorsicht" sqref="F20" xr:uid="{B74BBA41-80A1-46DB-A50D-67267E6E96F5}">
      <formula1>0</formula1>
      <formula2>30</formula2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Bitte Werte aus Dropdown auswählen" prompt="Abstand vom Boden laut Schablone" xr:uid="{3720A75E-D2FE-4CCE-A724-2DF2F4CA9245}">
          <x14:formula1>
            <xm:f>Punktetabellen!$A$3:$A$6</xm:f>
          </x14:formula1>
          <xm:sqref>F7:F8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993EC-175C-4E6F-91F8-60FE9E4D920A}">
  <sheetPr codeName="Tabelle8">
    <tabColor indexed="44"/>
    <pageSetUpPr fitToPage="1"/>
  </sheetPr>
  <dimension ref="A1:J70"/>
  <sheetViews>
    <sheetView zoomScale="85" zoomScaleNormal="85" workbookViewId="0">
      <pane ySplit="2" topLeftCell="A32" activePane="bottomLeft" state="frozen"/>
      <selection sqref="A1:H1"/>
      <selection pane="bottomLeft" activeCell="F20" sqref="F20"/>
    </sheetView>
  </sheetViews>
  <sheetFormatPr baseColWidth="10" defaultColWidth="0" defaultRowHeight="14.5" zeroHeight="1" outlineLevelRow="1" x14ac:dyDescent="0.35"/>
  <cols>
    <col min="1" max="1" width="11.453125" customWidth="1"/>
    <col min="2" max="2" width="12.1796875" customWidth="1"/>
    <col min="3" max="3" width="44.81640625" bestFit="1" customWidth="1"/>
    <col min="4" max="5" width="11.453125" style="154" customWidth="1"/>
    <col min="6" max="6" width="16.1796875" style="154" bestFit="1" customWidth="1"/>
    <col min="7" max="7" width="13.81640625" style="154" customWidth="1"/>
    <col min="8" max="8" width="11.453125" customWidth="1"/>
    <col min="9" max="9" width="6.1796875" style="23" hidden="1" customWidth="1"/>
    <col min="10" max="10" width="0" hidden="1" customWidth="1"/>
    <col min="11" max="16384" width="11.453125" hidden="1"/>
  </cols>
  <sheetData>
    <row r="1" spans="1:8" ht="15.5" x14ac:dyDescent="0.35">
      <c r="A1" s="16" t="s">
        <v>1</v>
      </c>
      <c r="B1" s="186" t="s">
        <v>387</v>
      </c>
      <c r="C1" s="187"/>
      <c r="D1" s="187"/>
      <c r="E1" s="188"/>
      <c r="F1" s="51" t="s">
        <v>96</v>
      </c>
      <c r="G1" s="61" t="s">
        <v>24</v>
      </c>
      <c r="H1" s="63">
        <v>2010</v>
      </c>
    </row>
    <row r="2" spans="1:8" ht="16" thickBot="1" x14ac:dyDescent="0.4">
      <c r="A2" s="17" t="s">
        <v>4</v>
      </c>
      <c r="B2" s="198" t="s">
        <v>388</v>
      </c>
      <c r="C2" s="199"/>
      <c r="D2" s="199"/>
      <c r="E2" s="199"/>
      <c r="F2" s="200"/>
      <c r="G2" s="62" t="s">
        <v>3</v>
      </c>
      <c r="H2" s="64">
        <f>2022-H1</f>
        <v>12</v>
      </c>
    </row>
    <row r="3" spans="1:8" ht="15" outlineLevel="1" thickBot="1" x14ac:dyDescent="0.4">
      <c r="A3" s="189" t="s">
        <v>26</v>
      </c>
      <c r="B3" s="190"/>
      <c r="C3" s="190"/>
      <c r="D3" s="190"/>
      <c r="E3" s="191"/>
      <c r="F3" s="46" t="s">
        <v>27</v>
      </c>
      <c r="G3" s="47" t="s">
        <v>28</v>
      </c>
      <c r="H3" s="22" t="s">
        <v>234</v>
      </c>
    </row>
    <row r="4" spans="1:8" outlineLevel="1" x14ac:dyDescent="0.35">
      <c r="A4" s="192" t="s">
        <v>30</v>
      </c>
      <c r="B4" s="193"/>
      <c r="C4" s="193"/>
      <c r="D4" s="193"/>
      <c r="E4" s="194"/>
      <c r="F4" s="25">
        <v>10</v>
      </c>
      <c r="G4" s="55" t="s">
        <v>32</v>
      </c>
      <c r="H4" s="34">
        <f>F4</f>
        <v>10</v>
      </c>
    </row>
    <row r="5" spans="1:8" outlineLevel="1" x14ac:dyDescent="0.35">
      <c r="A5" s="195" t="s">
        <v>85</v>
      </c>
      <c r="B5" s="196"/>
      <c r="C5" s="196"/>
      <c r="D5" s="196"/>
      <c r="E5" s="197"/>
      <c r="F5" s="14">
        <v>6</v>
      </c>
      <c r="G5" s="56" t="s">
        <v>32</v>
      </c>
      <c r="H5" s="35">
        <f>F5</f>
        <v>6</v>
      </c>
    </row>
    <row r="6" spans="1:8" outlineLevel="1" x14ac:dyDescent="0.35">
      <c r="A6" s="195" t="s">
        <v>33</v>
      </c>
      <c r="B6" s="196"/>
      <c r="C6" s="196"/>
      <c r="D6" s="196"/>
      <c r="E6" s="197"/>
      <c r="F6" s="14">
        <v>16</v>
      </c>
      <c r="G6" s="56" t="s">
        <v>31</v>
      </c>
      <c r="H6" s="35">
        <f>IF(F6="",0,VLOOKUP(F6,Punktetabellen!A10:B15,2,1))</f>
        <v>6</v>
      </c>
    </row>
    <row r="7" spans="1:8" outlineLevel="1" x14ac:dyDescent="0.35">
      <c r="A7" s="195" t="s">
        <v>34</v>
      </c>
      <c r="B7" s="196"/>
      <c r="C7" s="196"/>
      <c r="D7" s="196"/>
      <c r="E7" s="197"/>
      <c r="F7" s="14" t="s">
        <v>86</v>
      </c>
      <c r="G7" s="56" t="s">
        <v>31</v>
      </c>
      <c r="H7" s="35">
        <f>IF(F7="",0,VLOOKUP(F7,Punktetabellen!A3:B6,2,0))</f>
        <v>4</v>
      </c>
    </row>
    <row r="8" spans="1:8" ht="15" outlineLevel="1" thickBot="1" x14ac:dyDescent="0.4">
      <c r="A8" s="204" t="s">
        <v>35</v>
      </c>
      <c r="B8" s="205"/>
      <c r="C8" s="205"/>
      <c r="D8" s="205"/>
      <c r="E8" s="206"/>
      <c r="F8" s="41" t="s">
        <v>87</v>
      </c>
      <c r="G8" s="57" t="s">
        <v>31</v>
      </c>
      <c r="H8" s="36">
        <f>IF(F8="",0,VLOOKUP(F8,Punktetabellen!A3:B6,2,0))</f>
        <v>3</v>
      </c>
    </row>
    <row r="9" spans="1:8" ht="15" thickBot="1" x14ac:dyDescent="0.4">
      <c r="A9" s="210" t="s">
        <v>36</v>
      </c>
      <c r="B9" s="211"/>
      <c r="C9" s="211"/>
      <c r="D9" s="211"/>
      <c r="E9" s="211"/>
      <c r="F9" s="211"/>
      <c r="G9" s="211"/>
      <c r="H9" s="48">
        <f>SUM(H4:H8)</f>
        <v>29</v>
      </c>
    </row>
    <row r="10" spans="1:8" ht="15" outlineLevel="1" thickBot="1" x14ac:dyDescent="0.4">
      <c r="A10" s="189" t="s">
        <v>26</v>
      </c>
      <c r="B10" s="190"/>
      <c r="C10" s="190"/>
      <c r="D10" s="190"/>
      <c r="E10" s="191"/>
      <c r="F10" s="46" t="s">
        <v>27</v>
      </c>
      <c r="G10" s="47" t="s">
        <v>28</v>
      </c>
      <c r="H10" s="22" t="s">
        <v>234</v>
      </c>
    </row>
    <row r="11" spans="1:8" outlineLevel="1" x14ac:dyDescent="0.35">
      <c r="A11" s="207" t="s">
        <v>37</v>
      </c>
      <c r="B11" s="208"/>
      <c r="C11" s="208"/>
      <c r="D11" s="208"/>
      <c r="E11" s="209"/>
      <c r="F11" s="26">
        <v>12</v>
      </c>
      <c r="G11" s="58" t="s">
        <v>31</v>
      </c>
      <c r="H11" s="37">
        <f>IF($F11="",0,VLOOKUP($F11,Pkte_Klimmzug[],$H$2,1))</f>
        <v>10</v>
      </c>
    </row>
    <row r="12" spans="1:8" outlineLevel="1" x14ac:dyDescent="0.35">
      <c r="A12" s="201" t="s">
        <v>38</v>
      </c>
      <c r="B12" s="202"/>
      <c r="C12" s="202"/>
      <c r="D12" s="202"/>
      <c r="E12" s="203"/>
      <c r="F12" s="27">
        <v>2</v>
      </c>
      <c r="G12" s="59" t="s">
        <v>31</v>
      </c>
      <c r="H12" s="38">
        <f>IF($F12="",0,VLOOKUP($F12,Pkte_Beinheben[],$H$2,1))</f>
        <v>2</v>
      </c>
    </row>
    <row r="13" spans="1:8" outlineLevel="1" x14ac:dyDescent="0.35">
      <c r="A13" s="201" t="s">
        <v>88</v>
      </c>
      <c r="B13" s="202"/>
      <c r="C13" s="202"/>
      <c r="D13" s="202"/>
      <c r="E13" s="203"/>
      <c r="F13" s="27">
        <v>60</v>
      </c>
      <c r="G13" s="59" t="s">
        <v>31</v>
      </c>
      <c r="H13" s="38">
        <f>IF($F13="",0,VLOOKUP($F13,Pkte_Flieger[],$H$2,1))</f>
        <v>2</v>
      </c>
    </row>
    <row r="14" spans="1:8" outlineLevel="1" x14ac:dyDescent="0.35">
      <c r="A14" s="201" t="s">
        <v>39</v>
      </c>
      <c r="B14" s="202"/>
      <c r="C14" s="202"/>
      <c r="D14" s="202"/>
      <c r="E14" s="203"/>
      <c r="F14" s="27">
        <v>18</v>
      </c>
      <c r="G14" s="59" t="s">
        <v>31</v>
      </c>
      <c r="H14" s="38">
        <f>IF($F14="",0,VLOOKUP($F14,Pkte_Rollenverbindung[],$H$2,1))</f>
        <v>6</v>
      </c>
    </row>
    <row r="15" spans="1:8" outlineLevel="1" x14ac:dyDescent="0.35">
      <c r="A15" s="201" t="s">
        <v>89</v>
      </c>
      <c r="B15" s="202"/>
      <c r="C15" s="202"/>
      <c r="D15" s="202"/>
      <c r="E15" s="203"/>
      <c r="F15" s="27">
        <v>39</v>
      </c>
      <c r="G15" s="59" t="s">
        <v>31</v>
      </c>
      <c r="H15" s="38">
        <f>IF($F15="",0,VLOOKUP($F15,Pkte_Prellsprung[],$H$2,1))</f>
        <v>9</v>
      </c>
    </row>
    <row r="16" spans="1:8" outlineLevel="1" x14ac:dyDescent="0.35">
      <c r="A16" s="201" t="s">
        <v>90</v>
      </c>
      <c r="B16" s="202"/>
      <c r="C16" s="202"/>
      <c r="D16" s="202"/>
      <c r="E16" s="203"/>
      <c r="F16" s="28">
        <v>30</v>
      </c>
      <c r="G16" s="59" t="s">
        <v>31</v>
      </c>
      <c r="H16" s="38">
        <f>IF($F16="",0,VLOOKUP($F16,Pkte_Handstand[],$H$2,1))</f>
        <v>10</v>
      </c>
    </row>
    <row r="17" spans="1:8" ht="15" outlineLevel="1" thickBot="1" x14ac:dyDescent="0.4">
      <c r="A17" s="112" t="s">
        <v>93</v>
      </c>
      <c r="B17" s="113"/>
      <c r="C17" s="114" t="s">
        <v>269</v>
      </c>
      <c r="D17" s="29">
        <v>10</v>
      </c>
      <c r="E17" s="115" t="s">
        <v>270</v>
      </c>
      <c r="F17" s="29">
        <v>6</v>
      </c>
      <c r="G17" s="60" t="s">
        <v>31</v>
      </c>
      <c r="H17" s="39">
        <f>IF($F17="",0,IF($F$1="weiblich",VLOOKUP((100*$D17+$F17),Pkte_Shuttle_W[],$H$2,1),VLOOKUP((100*$D17+$F17),Pkte_Shuttle_M[],$H$2,1)))</f>
        <v>9</v>
      </c>
    </row>
    <row r="18" spans="1:8" ht="15" thickBot="1" x14ac:dyDescent="0.4">
      <c r="A18" s="161" t="s">
        <v>40</v>
      </c>
      <c r="B18" s="162"/>
      <c r="C18" s="162"/>
      <c r="D18" s="162"/>
      <c r="E18" s="162"/>
      <c r="F18" s="162"/>
      <c r="G18" s="162"/>
      <c r="H18" s="48">
        <f>SUM(H11:H17)</f>
        <v>48</v>
      </c>
    </row>
    <row r="19" spans="1:8" ht="15" outlineLevel="1" thickBot="1" x14ac:dyDescent="0.4">
      <c r="A19" s="159" t="s">
        <v>26</v>
      </c>
      <c r="B19" s="160"/>
      <c r="C19" s="160"/>
      <c r="D19" s="85" t="s">
        <v>235</v>
      </c>
      <c r="E19" s="85" t="s">
        <v>238</v>
      </c>
      <c r="F19" s="85" t="s">
        <v>236</v>
      </c>
      <c r="G19" s="86" t="s">
        <v>28</v>
      </c>
      <c r="H19" s="49" t="s">
        <v>234</v>
      </c>
    </row>
    <row r="20" spans="1:8" outlineLevel="1" x14ac:dyDescent="0.35">
      <c r="A20" s="167" t="s">
        <v>148</v>
      </c>
      <c r="B20" s="168"/>
      <c r="C20" s="116" t="s">
        <v>277</v>
      </c>
      <c r="D20" s="90">
        <f>IF(F1="männlich",VLOOKUP(H2,Standsprünge!A3:C15,3,0),VLOOKUP(H2,Standsprünge!A3:B15,2,0))+IF(C20="Druckmessplatte",0)</f>
        <v>14.9</v>
      </c>
      <c r="E20" s="90"/>
      <c r="F20" s="67">
        <v>15.55</v>
      </c>
      <c r="G20" s="91" t="s">
        <v>149</v>
      </c>
      <c r="H20" s="88">
        <f>IF(F20="",0,(F20-D20)*10)</f>
        <v>6.5000000000000036</v>
      </c>
    </row>
    <row r="21" spans="1:8" outlineLevel="1" x14ac:dyDescent="0.35">
      <c r="A21" s="165" t="str">
        <f>IF(H2&gt;15,"entfällt","TBN")</f>
        <v>TBN</v>
      </c>
      <c r="B21" s="166"/>
      <c r="C21" s="77" t="s">
        <v>407</v>
      </c>
      <c r="D21" s="78">
        <v>9</v>
      </c>
      <c r="E21" s="78">
        <v>6</v>
      </c>
      <c r="F21" s="42">
        <v>4</v>
      </c>
      <c r="G21" s="71" t="str">
        <f>IF(H2&gt;16,"entfällt","Wert - Abzug")</f>
        <v>Wert - Abzug</v>
      </c>
      <c r="H21" s="66">
        <f>IF(A21="entfällt",0,IF(F21="",0,D21-F21))</f>
        <v>5</v>
      </c>
    </row>
    <row r="22" spans="1:8" outlineLevel="1" x14ac:dyDescent="0.35">
      <c r="A22" s="165" t="str">
        <f>IF(H2&gt;15,"entfällt","TBN")</f>
        <v>TBN</v>
      </c>
      <c r="B22" s="166"/>
      <c r="C22" s="77" t="s">
        <v>409</v>
      </c>
      <c r="D22" s="78">
        <v>10</v>
      </c>
      <c r="E22" s="78">
        <v>6</v>
      </c>
      <c r="F22" s="42">
        <v>4</v>
      </c>
      <c r="G22" s="71" t="str">
        <f>IF(H2&gt;16,"entfällt","Wert - Abzug")</f>
        <v>Wert - Abzug</v>
      </c>
      <c r="H22" s="66">
        <f t="shared" ref="H22:H28" si="0">IF(A22="entfällt",0,IF(F22="",0,D22-F22))</f>
        <v>6</v>
      </c>
    </row>
    <row r="23" spans="1:8" outlineLevel="1" x14ac:dyDescent="0.35">
      <c r="A23" s="165" t="str">
        <f>IF(H2&gt;11,"entfällt","TBN")</f>
        <v>entfällt</v>
      </c>
      <c r="B23" s="166"/>
      <c r="C23" s="77"/>
      <c r="D23" s="78" t="str">
        <f ca="1">IF(C23="","",VLOOKUP(C23,INDIRECT($C$57),2,0))</f>
        <v/>
      </c>
      <c r="E23" s="78" t="str">
        <f ca="1">IF(C23="","",VLOOKUP(C23,INDIRECT($C$57),3,0))</f>
        <v/>
      </c>
      <c r="F23" s="42"/>
      <c r="G23" s="71" t="str">
        <f>IF(H2&gt;16,"entfällt","Wert - Abzug")</f>
        <v>Wert - Abzug</v>
      </c>
      <c r="H23" s="66">
        <f t="shared" si="0"/>
        <v>0</v>
      </c>
    </row>
    <row r="24" spans="1:8" outlineLevel="1" x14ac:dyDescent="0.35">
      <c r="A24" s="110" t="s">
        <v>147</v>
      </c>
      <c r="B24" s="111"/>
      <c r="C24" s="77" t="s">
        <v>55</v>
      </c>
      <c r="D24" s="78">
        <v>12</v>
      </c>
      <c r="E24" s="78">
        <v>6</v>
      </c>
      <c r="F24" s="42">
        <v>4</v>
      </c>
      <c r="G24" s="71" t="s">
        <v>146</v>
      </c>
      <c r="H24" s="66">
        <f t="shared" si="0"/>
        <v>8</v>
      </c>
    </row>
    <row r="25" spans="1:8" outlineLevel="1" x14ac:dyDescent="0.35">
      <c r="A25" s="110" t="s">
        <v>147</v>
      </c>
      <c r="B25" s="111"/>
      <c r="C25" s="77" t="s">
        <v>58</v>
      </c>
      <c r="D25" s="78">
        <v>13</v>
      </c>
      <c r="E25" s="78">
        <v>6</v>
      </c>
      <c r="F25" s="42">
        <v>4</v>
      </c>
      <c r="G25" s="71" t="s">
        <v>146</v>
      </c>
      <c r="H25" s="66">
        <f t="shared" si="0"/>
        <v>9</v>
      </c>
    </row>
    <row r="26" spans="1:8" outlineLevel="1" x14ac:dyDescent="0.35">
      <c r="A26" s="110" t="s">
        <v>147</v>
      </c>
      <c r="B26" s="111"/>
      <c r="C26" s="77" t="s">
        <v>57</v>
      </c>
      <c r="D26" s="78">
        <v>11</v>
      </c>
      <c r="E26" s="78">
        <v>6</v>
      </c>
      <c r="F26" s="42">
        <v>2</v>
      </c>
      <c r="G26" s="71" t="s">
        <v>146</v>
      </c>
      <c r="H26" s="66">
        <f t="shared" si="0"/>
        <v>9</v>
      </c>
    </row>
    <row r="27" spans="1:8" outlineLevel="1" x14ac:dyDescent="0.35">
      <c r="A27" s="110" t="str">
        <f>IF(H2&gt;11,"TN","entfällt")</f>
        <v>TN</v>
      </c>
      <c r="B27" s="111"/>
      <c r="C27" s="77" t="s">
        <v>61</v>
      </c>
      <c r="D27" s="78">
        <v>13</v>
      </c>
      <c r="E27" s="78">
        <v>6</v>
      </c>
      <c r="F27" s="42">
        <v>4</v>
      </c>
      <c r="G27" s="71" t="str">
        <f>IF(H2&gt;12,"Wert - Abzug","entfällt")</f>
        <v>entfällt</v>
      </c>
      <c r="H27" s="66">
        <f t="shared" si="0"/>
        <v>9</v>
      </c>
    </row>
    <row r="28" spans="1:8" outlineLevel="1" x14ac:dyDescent="0.35">
      <c r="A28" s="110" t="str">
        <f>IF(H2&gt;15,"TN","entfällt")</f>
        <v>entfällt</v>
      </c>
      <c r="B28" s="111"/>
      <c r="C28" s="77"/>
      <c r="D28" s="78"/>
      <c r="E28" s="78"/>
      <c r="F28" s="42"/>
      <c r="G28" s="71" t="str">
        <f>IF(H2&gt;16,"Wert - Abzug","entfällt")</f>
        <v>entfällt</v>
      </c>
      <c r="H28" s="66">
        <f t="shared" si="0"/>
        <v>0</v>
      </c>
    </row>
    <row r="29" spans="1:8" outlineLevel="1" x14ac:dyDescent="0.35">
      <c r="A29" s="110" t="str">
        <f>IF(H2&gt;15,"TN","entfällt")</f>
        <v>entfällt</v>
      </c>
      <c r="B29" s="111"/>
      <c r="C29" s="77"/>
      <c r="D29" s="78"/>
      <c r="E29" s="78"/>
      <c r="F29" s="42"/>
      <c r="G29" s="71" t="str">
        <f>IF(H2&gt;16,"Wert - Abzug","entfällt")</f>
        <v>entfällt</v>
      </c>
      <c r="H29" s="66">
        <f>IF(A29="entfällt",0,IF(F29="",0,D29-F29))</f>
        <v>0</v>
      </c>
    </row>
    <row r="30" spans="1:8" outlineLevel="1" x14ac:dyDescent="0.35">
      <c r="A30" s="165" t="str">
        <f>IF($H$2&gt;10,"Verbindung Sprung 1","entfällt")</f>
        <v>Verbindung Sprung 1</v>
      </c>
      <c r="B30" s="166"/>
      <c r="C30" s="40" t="str">
        <f ca="1">IF(A30&lt;&gt;"entfällt",VLOOKUP(1,INDIRECT($C$68),2,0),"")</f>
        <v>40/</v>
      </c>
      <c r="D30" s="40">
        <f ca="1">IF(A30&lt;&gt;"entfällt",VLOOKUP(1,INDIRECT($C$68),3,0),"")</f>
        <v>6</v>
      </c>
      <c r="E30" s="40">
        <f ca="1">IF(A30&lt;&gt;"entfällt",VLOOKUP(1,INDIRECT($C$68),4,0),"")</f>
        <v>3</v>
      </c>
      <c r="F30" s="42">
        <v>1</v>
      </c>
      <c r="G30" s="71" t="str">
        <f>IF(H2&gt;12,"Wert - Abzug","entfällt")</f>
        <v>entfällt</v>
      </c>
      <c r="H30" s="66"/>
    </row>
    <row r="31" spans="1:8" outlineLevel="1" x14ac:dyDescent="0.35">
      <c r="A31" s="165" t="str">
        <f>IF($H$2&gt;10,"Verbindung Sprung 2","entfällt")</f>
        <v>Verbindung Sprung 2</v>
      </c>
      <c r="B31" s="166"/>
      <c r="C31" s="40" t="str">
        <f ca="1">IF(A31&lt;&gt;"entfällt",VLOOKUP(2,INDIRECT($C$68),2,0),"")</f>
        <v>41/</v>
      </c>
      <c r="D31" s="40">
        <f ca="1">IF(A31&lt;&gt;"entfällt",VLOOKUP(2,INDIRECT($C$68),3,0),"")</f>
        <v>6</v>
      </c>
      <c r="E31" s="40">
        <f ca="1">IF(A31&lt;&gt;"entfällt",VLOOKUP(2,INDIRECT($C$68),4,0),"")</f>
        <v>3</v>
      </c>
      <c r="F31" s="42">
        <v>2</v>
      </c>
      <c r="G31" s="71" t="str">
        <f>IF(H2&gt;12,"Wert - Abzug","entfällt")</f>
        <v>entfällt</v>
      </c>
      <c r="H31" s="66"/>
    </row>
    <row r="32" spans="1:8" outlineLevel="1" x14ac:dyDescent="0.35">
      <c r="A32" s="165" t="str">
        <f>IF($H$2&gt;10,"Verbindung Sprung 3","entfällt")</f>
        <v>Verbindung Sprung 3</v>
      </c>
      <c r="B32" s="166"/>
      <c r="C32" s="40" t="str">
        <f ca="1">IF(A32&lt;&gt;"entfällt",VLOOKUP(3,INDIRECT($C$68),2,0),"")</f>
        <v>42/</v>
      </c>
      <c r="D32" s="40">
        <f ca="1">IF(A32&lt;&gt;"entfällt",VLOOKUP(3,INDIRECT($C$68),3,0),"")</f>
        <v>7</v>
      </c>
      <c r="E32" s="40">
        <f ca="1">IF(A32&lt;&gt;"entfällt",VLOOKUP(3,INDIRECT($C$68),4,0),"")</f>
        <v>3</v>
      </c>
      <c r="F32" s="42">
        <v>2</v>
      </c>
      <c r="G32" s="71" t="str">
        <f>IF(H2&gt;12,"Wert - Abzug","entfällt")</f>
        <v>entfällt</v>
      </c>
      <c r="H32" s="66"/>
    </row>
    <row r="33" spans="1:8" outlineLevel="1" x14ac:dyDescent="0.35">
      <c r="A33" s="165" t="str">
        <f>IF($H$2&gt;10,"Verbindung Sprung 4","entfällt")</f>
        <v>Verbindung Sprung 4</v>
      </c>
      <c r="B33" s="166"/>
      <c r="C33" s="40" t="str">
        <f ca="1">IF(A33&lt;&gt;"entfällt",VLOOKUP(4,INDIRECT($C$68),2,0),"")</f>
        <v>40°</v>
      </c>
      <c r="D33" s="40">
        <f ca="1">IF(A33&lt;&gt;"entfällt",VLOOKUP(4,INDIRECT($C$68),3,0),"")</f>
        <v>5</v>
      </c>
      <c r="E33" s="40">
        <f ca="1">IF(A33&lt;&gt;"entfällt",VLOOKUP(4,INDIRECT($C$68),4,0),"")</f>
        <v>3</v>
      </c>
      <c r="F33" s="42">
        <v>3</v>
      </c>
      <c r="G33" s="71" t="str">
        <f>IF(H2&gt;12,"Wert - Abzug","entfällt")</f>
        <v>entfällt</v>
      </c>
      <c r="H33" s="66"/>
    </row>
    <row r="34" spans="1:8" outlineLevel="1" x14ac:dyDescent="0.35">
      <c r="A34" s="165" t="str">
        <f>IF($H$2&gt;10,"Verbindung Sprung 5","entfällt")</f>
        <v>Verbindung Sprung 5</v>
      </c>
      <c r="B34" s="166"/>
      <c r="C34" s="40" t="str">
        <f ca="1">IF(A34&lt;&gt;"entfällt",VLOOKUP(5,INDIRECT($C$68),2,0),"")</f>
        <v>41°</v>
      </c>
      <c r="D34" s="40">
        <f ca="1">IF(A34&lt;&gt;"entfällt",VLOOKUP(5,INDIRECT($C$68),3,0),"")</f>
        <v>6</v>
      </c>
      <c r="E34" s="40">
        <f ca="1">IF(A34&lt;&gt;"entfällt",VLOOKUP(5,INDIRECT($C$68),4,0),"")</f>
        <v>3</v>
      </c>
      <c r="F34" s="42">
        <v>2</v>
      </c>
      <c r="G34" s="71" t="str">
        <f>IF(H2&gt;12,"Wert - Abzug","entfällt")</f>
        <v>entfällt</v>
      </c>
      <c r="H34" s="66"/>
    </row>
    <row r="35" spans="1:8" ht="15" outlineLevel="1" thickBot="1" x14ac:dyDescent="0.4">
      <c r="A35" s="171" t="str">
        <f>IF($H$2&gt;10,"Verbindung Sprung 6","entfällt")</f>
        <v>Verbindung Sprung 6</v>
      </c>
      <c r="B35" s="172"/>
      <c r="C35" s="68" t="str">
        <f ca="1">IF(A35&lt;&gt;"entfällt",VLOOKUP(6,INDIRECT($C$68),2,0),"")</f>
        <v>800°</v>
      </c>
      <c r="D35" s="68">
        <f ca="1">IF(A35&lt;&gt;"entfällt",VLOOKUP(6,INDIRECT($C$68),3,0),"")</f>
        <v>10</v>
      </c>
      <c r="E35" s="68">
        <f ca="1">IF(A35&lt;&gt;"entfällt",VLOOKUP(6,INDIRECT($C$68),4,0),"")</f>
        <v>3</v>
      </c>
      <c r="F35" s="69">
        <v>2</v>
      </c>
      <c r="G35" s="72" t="str">
        <f>IF(H2&gt;12,"Wert - Abzug","entfällt")</f>
        <v>entfällt</v>
      </c>
      <c r="H35" s="70">
        <f>30-F30-F31-F32-F33-F34-F35</f>
        <v>18</v>
      </c>
    </row>
    <row r="36" spans="1:8" ht="15" thickBot="1" x14ac:dyDescent="0.4">
      <c r="A36" s="173" t="s">
        <v>41</v>
      </c>
      <c r="B36" s="174"/>
      <c r="C36" s="174"/>
      <c r="D36" s="174"/>
      <c r="E36" s="174"/>
      <c r="F36" s="174"/>
      <c r="G36" s="175"/>
      <c r="H36" s="89">
        <f>SUM(H20:H35)</f>
        <v>70.5</v>
      </c>
    </row>
    <row r="37" spans="1:8" ht="15" outlineLevel="1" thickBot="1" x14ac:dyDescent="0.4">
      <c r="A37" s="181" t="s">
        <v>99</v>
      </c>
      <c r="B37" s="182"/>
      <c r="C37" s="182"/>
      <c r="D37" s="183"/>
      <c r="E37" s="85" t="s">
        <v>27</v>
      </c>
      <c r="F37" s="85" t="s">
        <v>237</v>
      </c>
      <c r="G37" s="86" t="s">
        <v>28</v>
      </c>
      <c r="H37" s="49" t="s">
        <v>234</v>
      </c>
    </row>
    <row r="38" spans="1:8" outlineLevel="1" x14ac:dyDescent="0.35">
      <c r="A38" s="179" t="str">
        <f ca="1">VLOOKUP(1,INDIRECT($C$65),2,0)</f>
        <v>Salto vorwärts mit Anlauf</v>
      </c>
      <c r="B38" s="180"/>
      <c r="C38" s="180"/>
      <c r="D38" s="180"/>
      <c r="E38" s="92">
        <f ca="1">VLOOKUP(1,INDIRECT($C$65),3,0)</f>
        <v>3</v>
      </c>
      <c r="F38" s="79">
        <v>1</v>
      </c>
      <c r="G38" s="80" t="s">
        <v>146</v>
      </c>
      <c r="H38" s="84">
        <f ca="1">IF(E38=" ","",IF(F38="",0,E38-F38))</f>
        <v>2</v>
      </c>
    </row>
    <row r="39" spans="1:8" outlineLevel="1" x14ac:dyDescent="0.35">
      <c r="A39" s="163" t="str">
        <f ca="1">VLOOKUP(2,INDIRECT($C$65),2,0)</f>
        <v>Handstand, 1/1 Drehung, Abrollen</v>
      </c>
      <c r="B39" s="164"/>
      <c r="C39" s="164"/>
      <c r="D39" s="164"/>
      <c r="E39" s="87">
        <f ca="1">VLOOKUP(2,INDIRECT($C$65),3,0)</f>
        <v>3</v>
      </c>
      <c r="F39" s="43">
        <v>0.5</v>
      </c>
      <c r="G39" s="81" t="s">
        <v>146</v>
      </c>
      <c r="H39" s="84">
        <f t="shared" ref="H39:H49" ca="1" si="1">IF(E39=" ","",IF(F39="",0,E39-F39))</f>
        <v>2.5</v>
      </c>
    </row>
    <row r="40" spans="1:8" outlineLevel="1" x14ac:dyDescent="0.35">
      <c r="A40" s="163" t="str">
        <f ca="1">VLOOKUP(3,INDIRECT($C$65),2,0)</f>
        <v>Strecksprung 1/2 Drehung</v>
      </c>
      <c r="B40" s="164"/>
      <c r="C40" s="164"/>
      <c r="D40" s="164"/>
      <c r="E40" s="87">
        <f ca="1">VLOOKUP(3,INDIRECT($C$65),3,0)</f>
        <v>1.5</v>
      </c>
      <c r="F40" s="43">
        <v>0</v>
      </c>
      <c r="G40" s="81" t="s">
        <v>146</v>
      </c>
      <c r="H40" s="84">
        <f t="shared" ca="1" si="1"/>
        <v>1.5</v>
      </c>
    </row>
    <row r="41" spans="1:8" outlineLevel="1" x14ac:dyDescent="0.35">
      <c r="A41" s="163" t="str">
        <f ca="1">VLOOKUP(4,INDIRECT($C$65),2,0)</f>
        <v>Vorspreizen, Handstandhüpfer, Abrollen Grätschsitz</v>
      </c>
      <c r="B41" s="164"/>
      <c r="C41" s="164"/>
      <c r="D41" s="164"/>
      <c r="E41" s="87">
        <f ca="1">VLOOKUP(4,INDIRECT($C$65),3,0)</f>
        <v>1.5</v>
      </c>
      <c r="F41" s="43">
        <v>0.5</v>
      </c>
      <c r="G41" s="81" t="s">
        <v>146</v>
      </c>
      <c r="H41" s="84">
        <f t="shared" ca="1" si="1"/>
        <v>1</v>
      </c>
    </row>
    <row r="42" spans="1:8" outlineLevel="1" x14ac:dyDescent="0.35">
      <c r="A42" s="163" t="str">
        <f ca="1">VLOOKUP(5,INDIRECT($C$65),2,0)</f>
        <v>Briefmarke, Rückgrätschen --&gt; Bauchlage</v>
      </c>
      <c r="B42" s="164"/>
      <c r="C42" s="164"/>
      <c r="D42" s="164"/>
      <c r="E42" s="87">
        <f ca="1">VLOOKUP(5,INDIRECT($C$65),3,0)</f>
        <v>3</v>
      </c>
      <c r="F42" s="43">
        <v>3</v>
      </c>
      <c r="G42" s="81" t="s">
        <v>146</v>
      </c>
      <c r="H42" s="84">
        <f t="shared" ca="1" si="1"/>
        <v>0</v>
      </c>
    </row>
    <row r="43" spans="1:8" outlineLevel="1" x14ac:dyDescent="0.35">
      <c r="A43" s="163" t="str">
        <f ca="1">VLOOKUP(6,INDIRECT($C$65),2,0)</f>
        <v>Kniestand, Abdrücken gebückt --&gt; Handstand, abrollen</v>
      </c>
      <c r="B43" s="164"/>
      <c r="C43" s="164"/>
      <c r="D43" s="164"/>
      <c r="E43" s="87">
        <f ca="1">VLOOKUP(6,INDIRECT($C$65),3,0)</f>
        <v>3</v>
      </c>
      <c r="F43" s="43">
        <v>1</v>
      </c>
      <c r="G43" s="81" t="s">
        <v>146</v>
      </c>
      <c r="H43" s="84">
        <f t="shared" ca="1" si="1"/>
        <v>2</v>
      </c>
    </row>
    <row r="44" spans="1:8" outlineLevel="1" x14ac:dyDescent="0.35">
      <c r="A44" s="163" t="str">
        <f ca="1">VLOOKUP(7,INDIRECT($C$65),2,0)</f>
        <v>Vorspreizen, Standwaage --&gt; abrollen, einbeinig rechts auf</v>
      </c>
      <c r="B44" s="164"/>
      <c r="C44" s="164"/>
      <c r="D44" s="164"/>
      <c r="E44" s="87">
        <f ca="1">VLOOKUP(7,INDIRECT($C$65),3,0)</f>
        <v>3.5</v>
      </c>
      <c r="F44" s="43">
        <v>2.5</v>
      </c>
      <c r="G44" s="81" t="s">
        <v>146</v>
      </c>
      <c r="H44" s="84">
        <f t="shared" ca="1" si="1"/>
        <v>1</v>
      </c>
    </row>
    <row r="45" spans="1:8" outlineLevel="1" x14ac:dyDescent="0.35">
      <c r="A45" s="163" t="str">
        <f ca="1">VLOOKUP(8,INDIRECT($C$65),2,0)</f>
        <v>Vorspreizen, Standwaage --&gt; abrollen, einbeinig links auf</v>
      </c>
      <c r="B45" s="164"/>
      <c r="C45" s="164"/>
      <c r="D45" s="164"/>
      <c r="E45" s="87">
        <f ca="1">VLOOKUP(8,INDIRECT($C$65),3,0)</f>
        <v>3.5</v>
      </c>
      <c r="F45" s="43">
        <v>3</v>
      </c>
      <c r="G45" s="81" t="s">
        <v>146</v>
      </c>
      <c r="H45" s="84">
        <f t="shared" ca="1" si="1"/>
        <v>0.5</v>
      </c>
    </row>
    <row r="46" spans="1:8" outlineLevel="1" x14ac:dyDescent="0.35">
      <c r="A46" s="163" t="str">
        <f ca="1">VLOOKUP(9,INDIRECT($C$65),2,0)</f>
        <v>Rolle rückwärts durch Handstand</v>
      </c>
      <c r="B46" s="164"/>
      <c r="C46" s="164"/>
      <c r="D46" s="164"/>
      <c r="E46" s="87">
        <f ca="1">VLOOKUP(9,INDIRECT($C$65),3,0)</f>
        <v>3</v>
      </c>
      <c r="F46" s="43">
        <v>2</v>
      </c>
      <c r="G46" s="81" t="str">
        <f>IF(H2&gt;16,"","Wert - Abzug")</f>
        <v>Wert - Abzug</v>
      </c>
      <c r="H46" s="84">
        <f t="shared" ca="1" si="1"/>
        <v>1</v>
      </c>
    </row>
    <row r="47" spans="1:8" outlineLevel="1" x14ac:dyDescent="0.35">
      <c r="A47" s="163" t="str">
        <f ca="1">VLOOKUP(10,INDIRECT($C$65),2,0)</f>
        <v>Strecksprung 1/2 Drehung</v>
      </c>
      <c r="B47" s="164"/>
      <c r="C47" s="164"/>
      <c r="D47" s="164"/>
      <c r="E47" s="87">
        <f ca="1">VLOOKUP(10,INDIRECT($C$65),3,0)</f>
        <v>1</v>
      </c>
      <c r="F47" s="43">
        <v>0</v>
      </c>
      <c r="G47" s="81" t="str">
        <f>IF(H2&gt;16,"","Wert - Abzug")</f>
        <v>Wert - Abzug</v>
      </c>
      <c r="H47" s="84">
        <f t="shared" ca="1" si="1"/>
        <v>1</v>
      </c>
    </row>
    <row r="48" spans="1:8" outlineLevel="1" x14ac:dyDescent="0.35">
      <c r="A48" s="163" t="str">
        <f ca="1">VLOOKUP(11,INDIRECT($C$65),2,0)</f>
        <v>Sprungrolle mit Anlauf</v>
      </c>
      <c r="B48" s="164"/>
      <c r="C48" s="164"/>
      <c r="D48" s="164"/>
      <c r="E48" s="87">
        <f ca="1">VLOOKUP(11,INDIRECT($C$65),3,0)</f>
        <v>2</v>
      </c>
      <c r="F48" s="43">
        <v>0</v>
      </c>
      <c r="G48" s="81" t="str">
        <f>IF(H2&gt;13,"","Wert - Abzug")</f>
        <v>Wert - Abzug</v>
      </c>
      <c r="H48" s="84">
        <f t="shared" ca="1" si="1"/>
        <v>2</v>
      </c>
    </row>
    <row r="49" spans="1:8" ht="15" outlineLevel="1" thickBot="1" x14ac:dyDescent="0.4">
      <c r="A49" s="184" t="str">
        <f ca="1">VLOOKUP(12,INDIRECT($C$65),2,0)</f>
        <v>Strecksprung 1/1 Drehung</v>
      </c>
      <c r="B49" s="185"/>
      <c r="C49" s="185"/>
      <c r="D49" s="185"/>
      <c r="E49" s="93">
        <f ca="1">VLOOKUP(12,INDIRECT($C$65),3,0)</f>
        <v>2</v>
      </c>
      <c r="F49" s="82">
        <v>0</v>
      </c>
      <c r="G49" s="83" t="str">
        <f>IF(OR(H2=9,H2=12,H2=13),"Wert - Abzug","")</f>
        <v>Wert - Abzug</v>
      </c>
      <c r="H49" s="84">
        <f t="shared" ca="1" si="1"/>
        <v>2</v>
      </c>
    </row>
    <row r="50" spans="1:8" ht="15" thickBot="1" x14ac:dyDescent="0.4">
      <c r="A50" s="176" t="s">
        <v>98</v>
      </c>
      <c r="B50" s="177"/>
      <c r="C50" s="177"/>
      <c r="D50" s="177"/>
      <c r="E50" s="177"/>
      <c r="F50" s="177"/>
      <c r="G50" s="178"/>
      <c r="H50" s="44">
        <f ca="1">SUM(H38:H49)</f>
        <v>16.5</v>
      </c>
    </row>
    <row r="51" spans="1:8" ht="16" thickBot="1" x14ac:dyDescent="0.4">
      <c r="A51" s="169" t="s">
        <v>42</v>
      </c>
      <c r="B51" s="170"/>
      <c r="C51" s="170"/>
      <c r="D51" s="170"/>
      <c r="E51" s="170"/>
      <c r="F51" s="170"/>
      <c r="G51" s="170"/>
      <c r="H51" s="94">
        <f ca="1">SUM(H9,H18,H36,H50)</f>
        <v>164</v>
      </c>
    </row>
    <row r="52" spans="1:8" s="23" customFormat="1" x14ac:dyDescent="0.35">
      <c r="D52" s="50"/>
      <c r="E52" s="50"/>
      <c r="F52" s="50"/>
      <c r="G52" s="50"/>
    </row>
    <row r="53" spans="1:8" s="23" customFormat="1" hidden="1" x14ac:dyDescent="0.35">
      <c r="C53" s="24"/>
      <c r="D53" s="50"/>
      <c r="E53" s="50"/>
      <c r="F53" s="50"/>
      <c r="G53" s="50"/>
    </row>
    <row r="54" spans="1:8" s="23" customFormat="1" hidden="1" x14ac:dyDescent="0.35">
      <c r="B54" s="23" t="s">
        <v>249</v>
      </c>
      <c r="C54" s="23" t="str">
        <f>IF(H2&lt;13,"beide",F1)</f>
        <v>beide</v>
      </c>
      <c r="D54" s="50"/>
      <c r="E54" s="50"/>
      <c r="F54" s="50"/>
      <c r="G54" s="50"/>
    </row>
    <row r="55" spans="1:8" s="23" customFormat="1" hidden="1" x14ac:dyDescent="0.35">
      <c r="B55" s="23" t="s">
        <v>3</v>
      </c>
      <c r="C55" s="23" t="str">
        <f>IF(OR(H2=8,H2=11),H2,IF(H2&lt;11,"9_10",IF(H2&lt;14,"12_13",IF(H2&lt;16,"14_15",IF(H2&lt;18,"16_17",18)))))</f>
        <v>12_13</v>
      </c>
      <c r="D55" s="50"/>
      <c r="E55" s="50"/>
      <c r="F55" s="50"/>
      <c r="G55" s="50"/>
    </row>
    <row r="56" spans="1:8" s="23" customFormat="1" hidden="1" x14ac:dyDescent="0.35">
      <c r="D56" s="50"/>
      <c r="E56" s="50"/>
      <c r="F56" s="50"/>
      <c r="G56" s="50"/>
    </row>
    <row r="57" spans="1:8" s="23" customFormat="1" hidden="1" x14ac:dyDescent="0.35">
      <c r="B57" s="23" t="s">
        <v>251</v>
      </c>
      <c r="C57" s="23" t="str">
        <f>"TBN_"&amp;C54&amp;"_"&amp;C55</f>
        <v>TBN_beide_12_13</v>
      </c>
      <c r="D57" s="50"/>
      <c r="E57" s="50"/>
      <c r="F57" s="50"/>
      <c r="G57" s="50"/>
    </row>
    <row r="58" spans="1:8" s="23" customFormat="1" hidden="1" x14ac:dyDescent="0.35">
      <c r="C58" s="23" t="str">
        <f>C57&amp;"[Beschreibung]"</f>
        <v>TBN_beide_12_13[Beschreibung]</v>
      </c>
      <c r="D58" s="50"/>
      <c r="E58" s="50"/>
      <c r="F58" s="50"/>
      <c r="G58" s="50"/>
    </row>
    <row r="59" spans="1:8" s="23" customFormat="1" hidden="1" x14ac:dyDescent="0.35">
      <c r="D59" s="50"/>
      <c r="E59" s="50"/>
      <c r="F59" s="50"/>
      <c r="G59" s="50"/>
    </row>
    <row r="60" spans="1:8" s="23" customFormat="1" hidden="1" x14ac:dyDescent="0.35">
      <c r="B60" s="23" t="s">
        <v>147</v>
      </c>
      <c r="C60" s="23" t="str">
        <f>"TN_"&amp;C54&amp;"_"&amp;C55</f>
        <v>TN_beide_12_13</v>
      </c>
      <c r="D60" s="50"/>
      <c r="E60" s="50"/>
      <c r="F60" s="50"/>
      <c r="G60" s="50"/>
    </row>
    <row r="61" spans="1:8" s="23" customFormat="1" hidden="1" x14ac:dyDescent="0.35">
      <c r="C61" s="23" t="str">
        <f>C60&amp;"[Beschreibung]"</f>
        <v>TN_beide_12_13[Beschreibung]</v>
      </c>
      <c r="D61" s="50"/>
      <c r="E61" s="50"/>
      <c r="F61" s="50"/>
      <c r="G61" s="50"/>
    </row>
    <row r="62" spans="1:8" s="23" customFormat="1" hidden="1" x14ac:dyDescent="0.35">
      <c r="D62" s="50"/>
      <c r="E62" s="50"/>
      <c r="F62" s="50"/>
      <c r="G62" s="50"/>
    </row>
    <row r="63" spans="1:8" s="23" customFormat="1" hidden="1" x14ac:dyDescent="0.35">
      <c r="B63" s="23" t="s">
        <v>17</v>
      </c>
      <c r="C63" s="23" t="str">
        <f>"TV_"&amp;F1&amp;"_"&amp;C55</f>
        <v>TV_männlich_12_13</v>
      </c>
      <c r="D63" s="50"/>
      <c r="E63" s="50"/>
      <c r="F63" s="50"/>
      <c r="G63" s="50"/>
    </row>
    <row r="64" spans="1:8" s="23" customFormat="1" hidden="1" x14ac:dyDescent="0.35">
      <c r="D64" s="50"/>
      <c r="E64" s="50"/>
      <c r="F64" s="50"/>
      <c r="G64" s="50"/>
    </row>
    <row r="65" spans="2:7" s="23" customFormat="1" hidden="1" x14ac:dyDescent="0.35">
      <c r="B65" s="23" t="s">
        <v>252</v>
      </c>
      <c r="C65" s="23" t="str">
        <f>"BKÜ"&amp;IF(H2=9,"_9",IF(H2&lt;12,"_10_11",IF(H2&lt;14,"_12_13",IF(H2&lt;17,"_14_16","_17"))))</f>
        <v>BKÜ_12_13</v>
      </c>
      <c r="D65" s="50"/>
      <c r="E65" s="50"/>
      <c r="F65" s="50"/>
      <c r="G65" s="50"/>
    </row>
    <row r="66" spans="2:7" s="23" customFormat="1" hidden="1" x14ac:dyDescent="0.35">
      <c r="D66" s="50"/>
      <c r="E66" s="50"/>
      <c r="F66" s="50"/>
      <c r="G66" s="50"/>
    </row>
    <row r="67" spans="2:7" s="23" customFormat="1" hidden="1" x14ac:dyDescent="0.35">
      <c r="B67" s="23" t="s">
        <v>250</v>
      </c>
      <c r="C67" s="23" t="str">
        <f>IF(H2&lt;17,"beide",F1)</f>
        <v>beide</v>
      </c>
      <c r="D67" s="50"/>
      <c r="E67" s="50"/>
      <c r="F67" s="50"/>
      <c r="G67" s="50"/>
    </row>
    <row r="68" spans="2:7" s="23" customFormat="1" hidden="1" x14ac:dyDescent="0.35">
      <c r="B68" s="23" t="s">
        <v>17</v>
      </c>
      <c r="C68" s="23" t="str">
        <f>"TV_"&amp;C67&amp;"_"&amp;C55</f>
        <v>TV_beide_12_13</v>
      </c>
      <c r="D68" s="50"/>
      <c r="E68" s="50"/>
      <c r="F68" s="50"/>
      <c r="G68" s="50"/>
    </row>
    <row r="69" spans="2:7" x14ac:dyDescent="0.35"/>
    <row r="70" spans="2:7" x14ac:dyDescent="0.35"/>
  </sheetData>
  <sheetProtection algorithmName="SHA-512" hashValue="ZvXQpcrKxy2LaRMczG5b6r+LjQwdu7TNPe7UUWHrBA7odVMBnKsyUUY/Fb6g2k5/kbgky2OsgVdmwNLJdaKhcQ==" saltValue="r7ClWvX4nKYmwQNbHpG4cw==" spinCount="100000" sheet="1" objects="1" scenarios="1" selectLockedCells="1"/>
  <protectedRanges>
    <protectedRange sqref="H1:H2 F1:F2 B1:B2" name="Athletendaten"/>
    <protectedRange sqref="F38:F49 C20:F35 D69:E440 C69:C441 F4:F8 C38:E68 C11:E16 F11:F17" name="Werte und Varianten"/>
    <protectedRange algorithmName="SHA-512" hashValue="EtPG7jm6pk6JVG08ToKZL4Sto4PS6TOUsygvFmj6DTfcGnX6DwKdfjTEg/2X1Hwnu/CwfNhBUSnXKs/oLqcupQ==" saltValue="sPse4fdTsI5OFESYvRIl8Q==" spinCount="100000" sqref="H4:H8 H38:H49 H20:H35 H11:H17" name="Punktzahlen"/>
  </protectedRanges>
  <mergeCells count="44">
    <mergeCell ref="A12:E12"/>
    <mergeCell ref="B1:E1"/>
    <mergeCell ref="B2:F2"/>
    <mergeCell ref="A3:E3"/>
    <mergeCell ref="A4:E4"/>
    <mergeCell ref="A5:E5"/>
    <mergeCell ref="A6:E6"/>
    <mergeCell ref="A7:E7"/>
    <mergeCell ref="A8:E8"/>
    <mergeCell ref="A9:G9"/>
    <mergeCell ref="A10:E10"/>
    <mergeCell ref="A11:E11"/>
    <mergeCell ref="A31:B31"/>
    <mergeCell ref="A13:E13"/>
    <mergeCell ref="A14:E14"/>
    <mergeCell ref="A15:E15"/>
    <mergeCell ref="A16:E16"/>
    <mergeCell ref="A18:G18"/>
    <mergeCell ref="A19:C19"/>
    <mergeCell ref="A20:B20"/>
    <mergeCell ref="A21:B21"/>
    <mergeCell ref="A22:B22"/>
    <mergeCell ref="A23:B23"/>
    <mergeCell ref="A30:B30"/>
    <mergeCell ref="A43:D43"/>
    <mergeCell ref="A32:B32"/>
    <mergeCell ref="A33:B33"/>
    <mergeCell ref="A34:B34"/>
    <mergeCell ref="A35:B35"/>
    <mergeCell ref="A36:G36"/>
    <mergeCell ref="A37:D37"/>
    <mergeCell ref="A38:D38"/>
    <mergeCell ref="A39:D39"/>
    <mergeCell ref="A40:D40"/>
    <mergeCell ref="A41:D41"/>
    <mergeCell ref="A42:D42"/>
    <mergeCell ref="A50:G50"/>
    <mergeCell ref="A51:G51"/>
    <mergeCell ref="A44:D44"/>
    <mergeCell ref="A45:D45"/>
    <mergeCell ref="A46:D46"/>
    <mergeCell ref="A47:D47"/>
    <mergeCell ref="A48:D48"/>
    <mergeCell ref="A49:D49"/>
  </mergeCells>
  <conditionalFormatting sqref="F46:F49">
    <cfRule type="expression" dxfId="274" priority="3">
      <formula>$A46=" "</formula>
    </cfRule>
  </conditionalFormatting>
  <conditionalFormatting sqref="B24:B29 C21:E29">
    <cfRule type="expression" dxfId="273" priority="2">
      <formula>$A21="entfällt"</formula>
    </cfRule>
    <cfRule type="expression" dxfId="272" priority="4">
      <formula>$H$2&gt;14</formula>
    </cfRule>
  </conditionalFormatting>
  <conditionalFormatting sqref="B24:B29">
    <cfRule type="expression" dxfId="271" priority="1">
      <formula>AND($A24="TN",$C24&lt;&gt;"")</formula>
    </cfRule>
  </conditionalFormatting>
  <dataValidations count="19">
    <dataValidation type="decimal" errorStyle="warning" allowBlank="1" showInputMessage="1" showErrorMessage="1" error="Eingegebener Abzug überschreitet maximal zulässigen Abzug, Wert bitte überprüfen!" sqref="F21:F35" xr:uid="{9BA68D30-77E3-4263-8780-4BB455B23757}">
      <formula1>0</formula1>
      <formula2>$E21</formula2>
    </dataValidation>
    <dataValidation type="list" allowBlank="1" showInputMessage="1" showErrorMessage="1" sqref="C20" xr:uid="{E938B004-ADD2-4132-92C1-379361E91AEF}">
      <formula1>"Lichtschranke,Druckmessplatte"</formula1>
    </dataValidation>
    <dataValidation type="whole" allowBlank="1" showInputMessage="1" showErrorMessage="1" errorTitle="Falsche Eingabe" error="Bitte Wert prüfen" sqref="D17" xr:uid="{48159BC6-D468-4947-881F-5C56AEEA7A74}">
      <formula1>1</formula1>
      <formula2>13</formula2>
    </dataValidation>
    <dataValidation type="list" allowBlank="1" showInputMessage="1" sqref="C24:C29" xr:uid="{00A6C7B1-8E41-4C77-8A58-1A54BAF9FCC8}">
      <formula1>INDIRECT($C$61)</formula1>
    </dataValidation>
    <dataValidation type="list" allowBlank="1" showInputMessage="1" sqref="C21:C23" xr:uid="{878EA11B-F786-47B6-845D-7A532245F047}">
      <formula1>INDIRECT($C$58)</formula1>
    </dataValidation>
    <dataValidation allowBlank="1" showInputMessage="1" showErrorMessage="1" prompt="Anzahl der Wiederholungen" sqref="F11" xr:uid="{1BB7392A-E22B-48BD-9F8A-7EA15C0288A7}"/>
    <dataValidation type="whole" allowBlank="1" showInputMessage="1" showErrorMessage="1" prompt="Abstand von der Oberkante des Turnhockers zur schlechtesten Fingerspitze in cm" sqref="F6" xr:uid="{2809A646-AB38-4AA5-842F-30566D995247}">
      <formula1>-50</formula1>
      <formula2>50</formula2>
    </dataValidation>
    <dataValidation type="list" allowBlank="1" showInputMessage="1" showErrorMessage="1" prompt="Punktzahl nach Vergleich mit Bild" sqref="F5" xr:uid="{9FB4A6DF-052A-472C-9381-14B9426E26B5}">
      <formula1>"0,2,6,10"</formula1>
    </dataValidation>
    <dataValidation type="whole" allowBlank="1" showErrorMessage="1" errorTitle="Falsche Eingabe" error="Bitte Wert prüfen" prompt="Höchste erreichte Stufe" sqref="F17" xr:uid="{3400EF30-49C4-4E7F-9291-4A657CDAE2F8}">
      <formula1>1</formula1>
      <formula2>11</formula2>
    </dataValidation>
    <dataValidation allowBlank="1" sqref="D20:E20" xr:uid="{6C89B6F5-A917-484E-BDAA-0536C2A77DFF}"/>
    <dataValidation type="decimal" errorStyle="warning" allowBlank="1" showInputMessage="1" showErrorMessage="1" error="Abzug höher als Wert des Elements, bitte überprüfen!" prompt="Abzug" sqref="F38:F49" xr:uid="{146E0348-5B5F-473F-B6A9-30A5AA668ED2}">
      <formula1>0</formula1>
      <formula2>$E38</formula2>
    </dataValidation>
    <dataValidation type="whole" allowBlank="1" showInputMessage="1" showErrorMessage="1" prompt="AKs 9 - 13: Übersprungene Kästchen_x000a__x000a_AKs 14 - 21: Anzahl Saltos" sqref="F15" xr:uid="{F2F96F6C-6EBB-4EEA-9230-D6A14C4317B0}">
      <formula1>0</formula1>
      <formula2>50</formula2>
    </dataValidation>
    <dataValidation type="list" allowBlank="1" showInputMessage="1" showErrorMessage="1" sqref="F1" xr:uid="{77BB8963-7E61-46FD-9B31-38137AD5D811}">
      <formula1>"männlich,weiblich"</formula1>
    </dataValidation>
    <dataValidation type="whole" allowBlank="1" showInputMessage="1" showErrorMessage="1" sqref="H4:H8" xr:uid="{CA947FCF-448D-41F6-BA38-B1BB56039F15}">
      <formula1>0</formula1>
      <formula2>10</formula2>
    </dataValidation>
    <dataValidation type="whole" allowBlank="1" showInputMessage="1" showErrorMessage="1" prompt="Haltezeit in Sekunden" sqref="F13" xr:uid="{41572DC1-C4B1-4E99-AD72-8CC5BC9C5BF7}">
      <formula1>0</formula1>
      <formula2>200</formula2>
    </dataValidation>
    <dataValidation type="whole" allowBlank="1" showInputMessage="1" showErrorMessage="1" prompt="Haltezeit in Sekunden" sqref="F16" xr:uid="{74AC60E0-756D-4402-93D1-3F9B62973220}">
      <formula1>0</formula1>
      <formula2>100</formula2>
    </dataValidation>
    <dataValidation type="whole" allowBlank="1" showInputMessage="1" showErrorMessage="1" prompt="Anzahl der Wiederholungen" sqref="F14 F12" xr:uid="{0D28F3F0-ED19-4F85-8DF0-4092C4997905}">
      <formula1>0</formula1>
      <formula2>50</formula2>
    </dataValidation>
    <dataValidation type="list" operator="equal" allowBlank="1" showInputMessage="1" showErrorMessage="1" prompt="Punktzahl nach Vergleich mit Bild" sqref="F4" xr:uid="{AB539125-A858-453D-A4D1-974A13B883B1}">
      <formula1>"0,2,6,10"</formula1>
    </dataValidation>
    <dataValidation type="decimal" errorStyle="warning" showDropDown="1" showErrorMessage="1" error="Wert unrealistisch hoch, bitte Eingabe überprüfen" promptTitle="Vorsicht" sqref="F20" xr:uid="{8F9A8F56-F8D9-4DB3-85D9-F9166F85B37E}">
      <formula1>0</formula1>
      <formula2>30</formula2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Bitte Werte aus Dropdown auswählen" prompt="Abstand vom Boden laut Schablone" xr:uid="{89276C9B-7803-4AB8-B48F-8B85DDFED6FD}">
          <x14:formula1>
            <xm:f>Punktetabellen!$A$3:$A$6</xm:f>
          </x14:formula1>
          <xm:sqref>F7:F8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81399-D9E9-4B46-BED8-D97EC2A82834}">
  <sheetPr codeName="Tabelle17">
    <tabColor indexed="44"/>
    <pageSetUpPr fitToPage="1"/>
  </sheetPr>
  <dimension ref="A1:J70"/>
  <sheetViews>
    <sheetView zoomScale="85" zoomScaleNormal="85" workbookViewId="0">
      <pane ySplit="2" topLeftCell="A11" activePane="bottomLeft" state="frozen"/>
      <selection sqref="A1:H1"/>
      <selection pane="bottomLeft" activeCell="C20" sqref="C20"/>
    </sheetView>
  </sheetViews>
  <sheetFormatPr baseColWidth="10" defaultColWidth="0" defaultRowHeight="14.5" zeroHeight="1" outlineLevelRow="1" x14ac:dyDescent="0.35"/>
  <cols>
    <col min="1" max="1" width="11.453125" customWidth="1"/>
    <col min="2" max="2" width="12.1796875" customWidth="1"/>
    <col min="3" max="3" width="44.81640625" bestFit="1" customWidth="1"/>
    <col min="4" max="5" width="11.453125" style="148" customWidth="1"/>
    <col min="6" max="6" width="16.1796875" style="148" bestFit="1" customWidth="1"/>
    <col min="7" max="7" width="13.81640625" style="148" customWidth="1"/>
    <col min="8" max="8" width="11.453125" customWidth="1"/>
    <col min="9" max="9" width="6.1796875" style="23" hidden="1" customWidth="1"/>
    <col min="10" max="10" width="0" hidden="1" customWidth="1"/>
    <col min="11" max="16384" width="11.453125" hidden="1"/>
  </cols>
  <sheetData>
    <row r="1" spans="1:8" ht="15.5" x14ac:dyDescent="0.35">
      <c r="A1" s="16" t="s">
        <v>1</v>
      </c>
      <c r="B1" s="186" t="s">
        <v>365</v>
      </c>
      <c r="C1" s="187"/>
      <c r="D1" s="187"/>
      <c r="E1" s="188"/>
      <c r="F1" s="51" t="s">
        <v>96</v>
      </c>
      <c r="G1" s="61" t="s">
        <v>24</v>
      </c>
      <c r="H1" s="63">
        <v>2007</v>
      </c>
    </row>
    <row r="2" spans="1:8" ht="16" thickBot="1" x14ac:dyDescent="0.4">
      <c r="A2" s="17" t="s">
        <v>4</v>
      </c>
      <c r="B2" s="198" t="s">
        <v>361</v>
      </c>
      <c r="C2" s="199"/>
      <c r="D2" s="199"/>
      <c r="E2" s="199"/>
      <c r="F2" s="200"/>
      <c r="G2" s="62" t="s">
        <v>3</v>
      </c>
      <c r="H2" s="64">
        <f>2022-H1</f>
        <v>15</v>
      </c>
    </row>
    <row r="3" spans="1:8" ht="15" outlineLevel="1" thickBot="1" x14ac:dyDescent="0.4">
      <c r="A3" s="189" t="s">
        <v>26</v>
      </c>
      <c r="B3" s="190"/>
      <c r="C3" s="190"/>
      <c r="D3" s="190"/>
      <c r="E3" s="191"/>
      <c r="F3" s="46" t="s">
        <v>27</v>
      </c>
      <c r="G3" s="47" t="s">
        <v>28</v>
      </c>
      <c r="H3" s="22" t="s">
        <v>234</v>
      </c>
    </row>
    <row r="4" spans="1:8" outlineLevel="1" x14ac:dyDescent="0.35">
      <c r="A4" s="192" t="s">
        <v>30</v>
      </c>
      <c r="B4" s="193"/>
      <c r="C4" s="193"/>
      <c r="D4" s="193"/>
      <c r="E4" s="194"/>
      <c r="F4" s="25">
        <v>10</v>
      </c>
      <c r="G4" s="55" t="s">
        <v>32</v>
      </c>
      <c r="H4" s="34">
        <f>F4</f>
        <v>10</v>
      </c>
    </row>
    <row r="5" spans="1:8" outlineLevel="1" x14ac:dyDescent="0.35">
      <c r="A5" s="195" t="s">
        <v>85</v>
      </c>
      <c r="B5" s="196"/>
      <c r="C5" s="196"/>
      <c r="D5" s="196"/>
      <c r="E5" s="197"/>
      <c r="F5" s="14">
        <v>6</v>
      </c>
      <c r="G5" s="56" t="s">
        <v>32</v>
      </c>
      <c r="H5" s="35">
        <f>F5</f>
        <v>6</v>
      </c>
    </row>
    <row r="6" spans="1:8" outlineLevel="1" x14ac:dyDescent="0.35">
      <c r="A6" s="195" t="s">
        <v>33</v>
      </c>
      <c r="B6" s="196"/>
      <c r="C6" s="196"/>
      <c r="D6" s="196"/>
      <c r="E6" s="197"/>
      <c r="F6" s="14">
        <v>20</v>
      </c>
      <c r="G6" s="56" t="s">
        <v>31</v>
      </c>
      <c r="H6" s="35">
        <f>IF(F6="",0,VLOOKUP(F6,Punktetabellen!A10:B15,2,1))</f>
        <v>10</v>
      </c>
    </row>
    <row r="7" spans="1:8" outlineLevel="1" x14ac:dyDescent="0.35">
      <c r="A7" s="195" t="s">
        <v>34</v>
      </c>
      <c r="B7" s="196"/>
      <c r="C7" s="196"/>
      <c r="D7" s="196"/>
      <c r="E7" s="197"/>
      <c r="F7" s="14">
        <v>0</v>
      </c>
      <c r="G7" s="56" t="s">
        <v>31</v>
      </c>
      <c r="H7" s="35">
        <f>IF(F7="",0,VLOOKUP(F7,Punktetabellen!A3:B6,2,0))</f>
        <v>5</v>
      </c>
    </row>
    <row r="8" spans="1:8" ht="15" outlineLevel="1" thickBot="1" x14ac:dyDescent="0.4">
      <c r="A8" s="204" t="s">
        <v>35</v>
      </c>
      <c r="B8" s="205"/>
      <c r="C8" s="205"/>
      <c r="D8" s="205"/>
      <c r="E8" s="206"/>
      <c r="F8" s="41">
        <v>0</v>
      </c>
      <c r="G8" s="57" t="s">
        <v>31</v>
      </c>
      <c r="H8" s="36">
        <f>IF(F8="",0,VLOOKUP(F8,Punktetabellen!A3:B6,2,0))</f>
        <v>5</v>
      </c>
    </row>
    <row r="9" spans="1:8" ht="15" thickBot="1" x14ac:dyDescent="0.4">
      <c r="A9" s="210" t="s">
        <v>36</v>
      </c>
      <c r="B9" s="211"/>
      <c r="C9" s="211"/>
      <c r="D9" s="211"/>
      <c r="E9" s="211"/>
      <c r="F9" s="211"/>
      <c r="G9" s="211"/>
      <c r="H9" s="48">
        <f>SUM(H4:H8)</f>
        <v>36</v>
      </c>
    </row>
    <row r="10" spans="1:8" ht="15" outlineLevel="1" thickBot="1" x14ac:dyDescent="0.4">
      <c r="A10" s="189" t="s">
        <v>26</v>
      </c>
      <c r="B10" s="190"/>
      <c r="C10" s="190"/>
      <c r="D10" s="190"/>
      <c r="E10" s="191"/>
      <c r="F10" s="46" t="s">
        <v>27</v>
      </c>
      <c r="G10" s="47" t="s">
        <v>28</v>
      </c>
      <c r="H10" s="22" t="s">
        <v>234</v>
      </c>
    </row>
    <row r="11" spans="1:8" outlineLevel="1" x14ac:dyDescent="0.35">
      <c r="A11" s="207" t="s">
        <v>37</v>
      </c>
      <c r="B11" s="208"/>
      <c r="C11" s="208"/>
      <c r="D11" s="208"/>
      <c r="E11" s="209"/>
      <c r="F11" s="26">
        <v>4</v>
      </c>
      <c r="G11" s="58" t="s">
        <v>31</v>
      </c>
      <c r="H11" s="37">
        <f>IF($F11="",0,VLOOKUP($F11,Pkte_Klimmzug[],$H$2,1))</f>
        <v>1</v>
      </c>
    </row>
    <row r="12" spans="1:8" outlineLevel="1" x14ac:dyDescent="0.35">
      <c r="A12" s="201" t="s">
        <v>38</v>
      </c>
      <c r="B12" s="202"/>
      <c r="C12" s="202"/>
      <c r="D12" s="202"/>
      <c r="E12" s="203"/>
      <c r="F12" s="27">
        <v>0</v>
      </c>
      <c r="G12" s="59" t="s">
        <v>31</v>
      </c>
      <c r="H12" s="38">
        <f>IF($F12="",0,VLOOKUP($F12,Pkte_Beinheben[],$H$2,1))</f>
        <v>0</v>
      </c>
    </row>
    <row r="13" spans="1:8" outlineLevel="1" x14ac:dyDescent="0.35">
      <c r="A13" s="201" t="s">
        <v>88</v>
      </c>
      <c r="B13" s="202"/>
      <c r="C13" s="202"/>
      <c r="D13" s="202"/>
      <c r="E13" s="203"/>
      <c r="F13" s="27">
        <v>90</v>
      </c>
      <c r="G13" s="59" t="s">
        <v>31</v>
      </c>
      <c r="H13" s="38">
        <f>IF($F13="",0,VLOOKUP($F13,Pkte_Flieger[],$H$2,1))</f>
        <v>6</v>
      </c>
    </row>
    <row r="14" spans="1:8" outlineLevel="1" x14ac:dyDescent="0.35">
      <c r="A14" s="201" t="s">
        <v>39</v>
      </c>
      <c r="B14" s="202"/>
      <c r="C14" s="202"/>
      <c r="D14" s="202"/>
      <c r="E14" s="203"/>
      <c r="F14" s="27">
        <v>29</v>
      </c>
      <c r="G14" s="59" t="s">
        <v>31</v>
      </c>
      <c r="H14" s="38">
        <f>IF($F14="",0,VLOOKUP($F14,Pkte_Rollenverbindung[],$H$2,1))</f>
        <v>10</v>
      </c>
    </row>
    <row r="15" spans="1:8" outlineLevel="1" x14ac:dyDescent="0.35">
      <c r="A15" s="201" t="s">
        <v>89</v>
      </c>
      <c r="B15" s="202"/>
      <c r="C15" s="202"/>
      <c r="D15" s="202"/>
      <c r="E15" s="203"/>
      <c r="F15" s="27">
        <v>9</v>
      </c>
      <c r="G15" s="59" t="s">
        <v>31</v>
      </c>
      <c r="H15" s="38">
        <f>IF($F15="",0,VLOOKUP($F15,Pkte_Prellsprung[],$H$2,1))</f>
        <v>9</v>
      </c>
    </row>
    <row r="16" spans="1:8" outlineLevel="1" x14ac:dyDescent="0.35">
      <c r="A16" s="201" t="s">
        <v>90</v>
      </c>
      <c r="B16" s="202"/>
      <c r="C16" s="202"/>
      <c r="D16" s="202"/>
      <c r="E16" s="203"/>
      <c r="F16" s="28">
        <v>0</v>
      </c>
      <c r="G16" s="59" t="s">
        <v>31</v>
      </c>
      <c r="H16" s="38">
        <f>IF($F16="",0,VLOOKUP($F16,Pkte_Handstand[],$H$2,1))</f>
        <v>0</v>
      </c>
    </row>
    <row r="17" spans="1:8" ht="15" outlineLevel="1" thickBot="1" x14ac:dyDescent="0.4">
      <c r="A17" s="112" t="s">
        <v>93</v>
      </c>
      <c r="B17" s="113"/>
      <c r="C17" s="114" t="s">
        <v>269</v>
      </c>
      <c r="D17" s="29">
        <v>9</v>
      </c>
      <c r="E17" s="115" t="s">
        <v>270</v>
      </c>
      <c r="F17" s="29">
        <v>11</v>
      </c>
      <c r="G17" s="60" t="s">
        <v>31</v>
      </c>
      <c r="H17" s="39">
        <f>IF($F17="",0,IF($F$1="weiblich",VLOOKUP((100*$D17+$F17),Pkte_Shuttle_W[],$H$2,1),VLOOKUP((100*$D17+$F17),Pkte_Shuttle_M[],$H$2,1)))</f>
        <v>6</v>
      </c>
    </row>
    <row r="18" spans="1:8" ht="15" thickBot="1" x14ac:dyDescent="0.4">
      <c r="A18" s="161" t="s">
        <v>40</v>
      </c>
      <c r="B18" s="162"/>
      <c r="C18" s="162"/>
      <c r="D18" s="162"/>
      <c r="E18" s="162"/>
      <c r="F18" s="162"/>
      <c r="G18" s="162"/>
      <c r="H18" s="48">
        <f>SUM(H11:H17)</f>
        <v>32</v>
      </c>
    </row>
    <row r="19" spans="1:8" ht="15" outlineLevel="1" thickBot="1" x14ac:dyDescent="0.4">
      <c r="A19" s="159" t="s">
        <v>26</v>
      </c>
      <c r="B19" s="160"/>
      <c r="C19" s="160"/>
      <c r="D19" s="85" t="s">
        <v>235</v>
      </c>
      <c r="E19" s="85" t="s">
        <v>238</v>
      </c>
      <c r="F19" s="85" t="s">
        <v>236</v>
      </c>
      <c r="G19" s="86" t="s">
        <v>28</v>
      </c>
      <c r="H19" s="49" t="s">
        <v>234</v>
      </c>
    </row>
    <row r="20" spans="1:8" outlineLevel="1" x14ac:dyDescent="0.35">
      <c r="A20" s="167" t="s">
        <v>148</v>
      </c>
      <c r="B20" s="168"/>
      <c r="C20" s="116" t="str">
        <f>Infos!A10</f>
        <v>Druckmessplatte</v>
      </c>
      <c r="D20" s="90">
        <f>IF(F1="männlich",VLOOKUP(H2,Standsprünge!A3:C15,3,0),VLOOKUP(H2,Standsprünge!A3:B15,2,0))+IF(C20="Druckmessplatte",0)</f>
        <v>16.399999999999999</v>
      </c>
      <c r="E20" s="90"/>
      <c r="F20" s="67">
        <v>15.48</v>
      </c>
      <c r="G20" s="91" t="s">
        <v>149</v>
      </c>
      <c r="H20" s="88">
        <f>IF(F20="",0,(F20-D20)*10)</f>
        <v>-9.1999999999999815</v>
      </c>
    </row>
    <row r="21" spans="1:8" outlineLevel="1" x14ac:dyDescent="0.35">
      <c r="A21" s="165" t="str">
        <f>IF(H2&gt;15,"entfällt","TBN")</f>
        <v>TBN</v>
      </c>
      <c r="B21" s="166"/>
      <c r="C21" s="77" t="s">
        <v>197</v>
      </c>
      <c r="D21" s="78">
        <f ca="1">IF(C21="","",VLOOKUP(C21,INDIRECT($C$57),2,0))</f>
        <v>10</v>
      </c>
      <c r="E21" s="78">
        <f ca="1">IF(C21="","",VLOOKUP(C21,INDIRECT($C$57),3,0))</f>
        <v>6</v>
      </c>
      <c r="F21" s="42">
        <v>4</v>
      </c>
      <c r="G21" s="71" t="str">
        <f>IF(H2&gt;16,"entfällt","Wert - Abzug")</f>
        <v>Wert - Abzug</v>
      </c>
      <c r="H21" s="66">
        <f ca="1">IF(A21="entfällt",0,IF(F21="",0,D21-F21))</f>
        <v>6</v>
      </c>
    </row>
    <row r="22" spans="1:8" outlineLevel="1" x14ac:dyDescent="0.35">
      <c r="A22" s="165" t="str">
        <f>IF(H2&gt;15,"entfällt","TBN")</f>
        <v>TBN</v>
      </c>
      <c r="B22" s="166"/>
      <c r="C22" s="77" t="s">
        <v>380</v>
      </c>
      <c r="D22" s="78">
        <v>12</v>
      </c>
      <c r="E22" s="78">
        <v>6</v>
      </c>
      <c r="F22" s="42">
        <v>4</v>
      </c>
      <c r="G22" s="71" t="str">
        <f>IF(H2&gt;16,"entfällt","Wert - Abzug")</f>
        <v>Wert - Abzug</v>
      </c>
      <c r="H22" s="66">
        <f t="shared" ref="H22:H28" si="0">IF(A22="entfällt",0,IF(F22="",0,D22-F22))</f>
        <v>8</v>
      </c>
    </row>
    <row r="23" spans="1:8" outlineLevel="1" x14ac:dyDescent="0.35">
      <c r="A23" s="165" t="str">
        <f>IF(H2&gt;11,"entfällt","TBN")</f>
        <v>entfällt</v>
      </c>
      <c r="B23" s="166"/>
      <c r="C23" s="77"/>
      <c r="D23" s="78" t="str">
        <f ca="1">IF(C23="","",VLOOKUP(C23,INDIRECT($C$57),2,0))</f>
        <v/>
      </c>
      <c r="E23" s="78" t="str">
        <f ca="1">IF(C23="","",VLOOKUP(C23,INDIRECT($C$57),3,0))</f>
        <v/>
      </c>
      <c r="F23" s="42"/>
      <c r="G23" s="71" t="str">
        <f>IF(H2&gt;16,"entfällt","Wert - Abzug")</f>
        <v>Wert - Abzug</v>
      </c>
      <c r="H23" s="66">
        <f t="shared" si="0"/>
        <v>0</v>
      </c>
    </row>
    <row r="24" spans="1:8" outlineLevel="1" x14ac:dyDescent="0.35">
      <c r="A24" s="110" t="s">
        <v>147</v>
      </c>
      <c r="B24" s="111"/>
      <c r="C24" s="77" t="s">
        <v>185</v>
      </c>
      <c r="D24" s="78">
        <v>15</v>
      </c>
      <c r="E24" s="78">
        <v>6</v>
      </c>
      <c r="F24" s="42">
        <v>4</v>
      </c>
      <c r="G24" s="71" t="s">
        <v>146</v>
      </c>
      <c r="H24" s="66">
        <f t="shared" si="0"/>
        <v>11</v>
      </c>
    </row>
    <row r="25" spans="1:8" outlineLevel="1" x14ac:dyDescent="0.35">
      <c r="A25" s="110" t="s">
        <v>147</v>
      </c>
      <c r="B25" s="111"/>
      <c r="C25" s="77" t="s">
        <v>186</v>
      </c>
      <c r="D25" s="78">
        <v>14</v>
      </c>
      <c r="E25" s="78">
        <v>6</v>
      </c>
      <c r="F25" s="42">
        <v>6</v>
      </c>
      <c r="G25" s="71" t="s">
        <v>146</v>
      </c>
      <c r="H25" s="66">
        <f t="shared" si="0"/>
        <v>8</v>
      </c>
    </row>
    <row r="26" spans="1:8" outlineLevel="1" x14ac:dyDescent="0.35">
      <c r="A26" s="110" t="s">
        <v>147</v>
      </c>
      <c r="B26" s="111"/>
      <c r="C26" s="77" t="s">
        <v>188</v>
      </c>
      <c r="D26" s="78">
        <v>13</v>
      </c>
      <c r="E26" s="78">
        <v>6</v>
      </c>
      <c r="F26" s="42">
        <v>4</v>
      </c>
      <c r="G26" s="71" t="s">
        <v>146</v>
      </c>
      <c r="H26" s="66">
        <f t="shared" si="0"/>
        <v>9</v>
      </c>
    </row>
    <row r="27" spans="1:8" outlineLevel="1" x14ac:dyDescent="0.35">
      <c r="A27" s="110" t="str">
        <f>IF(H2&gt;11,"TN","entfällt")</f>
        <v>TN</v>
      </c>
      <c r="B27" s="111"/>
      <c r="C27" s="77" t="s">
        <v>192</v>
      </c>
      <c r="D27" s="78">
        <v>12</v>
      </c>
      <c r="E27" s="78">
        <v>6</v>
      </c>
      <c r="F27" s="42">
        <v>2</v>
      </c>
      <c r="G27" s="71" t="str">
        <f>IF(H2&gt;12,"Wert - Abzug","entfällt")</f>
        <v>Wert - Abzug</v>
      </c>
      <c r="H27" s="66">
        <f t="shared" si="0"/>
        <v>10</v>
      </c>
    </row>
    <row r="28" spans="1:8" outlineLevel="1" x14ac:dyDescent="0.35">
      <c r="A28" s="110" t="str">
        <f>IF(H2&gt;15,"TN","entfällt")</f>
        <v>entfällt</v>
      </c>
      <c r="B28" s="111"/>
      <c r="C28" s="77"/>
      <c r="D28" s="78"/>
      <c r="E28" s="78"/>
      <c r="F28" s="42"/>
      <c r="G28" s="71" t="str">
        <f>IF(H2&gt;16,"Wert - Abzug","entfällt")</f>
        <v>entfällt</v>
      </c>
      <c r="H28" s="66">
        <f t="shared" si="0"/>
        <v>0</v>
      </c>
    </row>
    <row r="29" spans="1:8" outlineLevel="1" x14ac:dyDescent="0.35">
      <c r="A29" s="110" t="str">
        <f>IF(H2&gt;15,"TN","entfällt")</f>
        <v>entfällt</v>
      </c>
      <c r="B29" s="111"/>
      <c r="C29" s="77"/>
      <c r="D29" s="78"/>
      <c r="E29" s="78"/>
      <c r="F29" s="42"/>
      <c r="G29" s="71" t="str">
        <f>IF(H2&gt;16,"Wert - Abzug","entfällt")</f>
        <v>entfällt</v>
      </c>
      <c r="H29" s="66">
        <f>IF(A29="entfällt",0,IF(F29="",0,D29-F29))</f>
        <v>0</v>
      </c>
    </row>
    <row r="30" spans="1:8" outlineLevel="1" x14ac:dyDescent="0.35">
      <c r="A30" s="165" t="str">
        <f>IF($H$2&gt;10,"Verbindung Sprung 1","entfällt")</f>
        <v>Verbindung Sprung 1</v>
      </c>
      <c r="B30" s="166"/>
      <c r="C30" s="40" t="str">
        <f ca="1">IF(A30&lt;&gt;"entfällt",VLOOKUP(1,INDIRECT($C$68),2,0),"")</f>
        <v>801&lt;</v>
      </c>
      <c r="D30" s="40">
        <f ca="1">IF(A30&lt;&gt;"entfällt",VLOOKUP(1,INDIRECT($C$68),3,0),"")</f>
        <v>13</v>
      </c>
      <c r="E30" s="40">
        <f ca="1">IF(A30&lt;&gt;"entfällt",VLOOKUP(1,INDIRECT($C$68),4,0),"")</f>
        <v>3</v>
      </c>
      <c r="F30" s="42">
        <v>2</v>
      </c>
      <c r="G30" s="71" t="str">
        <f>IF(H2&gt;12,"Wert - Abzug","entfällt")</f>
        <v>Wert - Abzug</v>
      </c>
      <c r="H30" s="66"/>
    </row>
    <row r="31" spans="1:8" outlineLevel="1" x14ac:dyDescent="0.35">
      <c r="A31" s="165" t="str">
        <f>IF($H$2&gt;10,"Verbindung Sprung 2","entfällt")</f>
        <v>Verbindung Sprung 2</v>
      </c>
      <c r="B31" s="166"/>
      <c r="C31" s="40" t="str">
        <f ca="1">IF(A31&lt;&gt;"entfällt",VLOOKUP(2,INDIRECT($C$68),2,0),"")</f>
        <v>40&lt;</v>
      </c>
      <c r="D31" s="40">
        <f ca="1">IF(A31&lt;&gt;"entfällt",VLOOKUP(2,INDIRECT($C$68),3,0),"")</f>
        <v>6</v>
      </c>
      <c r="E31" s="40">
        <f ca="1">IF(A31&lt;&gt;"entfällt",VLOOKUP(2,INDIRECT($C$68),4,0),"")</f>
        <v>3</v>
      </c>
      <c r="F31" s="42">
        <v>2</v>
      </c>
      <c r="G31" s="71" t="str">
        <f>IF(H2&gt;12,"Wert - Abzug","entfällt")</f>
        <v>Wert - Abzug</v>
      </c>
      <c r="H31" s="66"/>
    </row>
    <row r="32" spans="1:8" outlineLevel="1" x14ac:dyDescent="0.35">
      <c r="A32" s="165" t="str">
        <f>IF($H$2&gt;10,"Verbindung Sprung 3","entfällt")</f>
        <v>Verbindung Sprung 3</v>
      </c>
      <c r="B32" s="166"/>
      <c r="C32" s="40" t="str">
        <f ca="1">IF(A32&lt;&gt;"entfällt",VLOOKUP(3,INDIRECT($C$68),2,0),"")</f>
        <v>801°</v>
      </c>
      <c r="D32" s="40">
        <f ca="1">IF(A32&lt;&gt;"entfällt",VLOOKUP(3,INDIRECT($C$68),3,0),"")</f>
        <v>11</v>
      </c>
      <c r="E32" s="40">
        <f ca="1">IF(A32&lt;&gt;"entfällt",VLOOKUP(3,INDIRECT($C$68),4,0),"")</f>
        <v>3</v>
      </c>
      <c r="F32" s="42">
        <v>2</v>
      </c>
      <c r="G32" s="71" t="str">
        <f>IF(H2&gt;12,"Wert - Abzug","entfällt")</f>
        <v>Wert - Abzug</v>
      </c>
      <c r="H32" s="66"/>
    </row>
    <row r="33" spans="1:8" outlineLevel="1" x14ac:dyDescent="0.35">
      <c r="A33" s="165" t="str">
        <f>IF($H$2&gt;10,"Verbindung Sprung 4","entfällt")</f>
        <v>Verbindung Sprung 4</v>
      </c>
      <c r="B33" s="166"/>
      <c r="C33" s="40" t="str">
        <f ca="1">IF(A33&lt;&gt;"entfällt",VLOOKUP(4,INDIRECT($C$68),2,0),"")</f>
        <v>40/</v>
      </c>
      <c r="D33" s="40">
        <f ca="1">IF(A33&lt;&gt;"entfällt",VLOOKUP(4,INDIRECT($C$68),3,0),"")</f>
        <v>6</v>
      </c>
      <c r="E33" s="40">
        <f ca="1">IF(A33&lt;&gt;"entfällt",VLOOKUP(4,INDIRECT($C$68),4,0),"")</f>
        <v>3</v>
      </c>
      <c r="F33" s="42">
        <v>1</v>
      </c>
      <c r="G33" s="71" t="str">
        <f>IF(H2&gt;12,"Wert - Abzug","entfällt")</f>
        <v>Wert - Abzug</v>
      </c>
      <c r="H33" s="66"/>
    </row>
    <row r="34" spans="1:8" outlineLevel="1" x14ac:dyDescent="0.35">
      <c r="A34" s="165" t="str">
        <f>IF($H$2&gt;10,"Verbindung Sprung 5","entfällt")</f>
        <v>Verbindung Sprung 5</v>
      </c>
      <c r="B34" s="166"/>
      <c r="C34" s="40" t="str">
        <f ca="1">IF(A34&lt;&gt;"entfällt",VLOOKUP(5,INDIRECT($C$68),2,0),"")</f>
        <v>41/</v>
      </c>
      <c r="D34" s="40">
        <f ca="1">IF(A34&lt;&gt;"entfällt",VLOOKUP(5,INDIRECT($C$68),3,0),"")</f>
        <v>6</v>
      </c>
      <c r="E34" s="40">
        <f ca="1">IF(A34&lt;&gt;"entfällt",VLOOKUP(5,INDIRECT($C$68),4,0),"")</f>
        <v>3</v>
      </c>
      <c r="F34" s="42">
        <v>1</v>
      </c>
      <c r="G34" s="71" t="str">
        <f>IF(H2&gt;12,"Wert - Abzug","entfällt")</f>
        <v>Wert - Abzug</v>
      </c>
      <c r="H34" s="66"/>
    </row>
    <row r="35" spans="1:8" ht="15" outlineLevel="1" thickBot="1" x14ac:dyDescent="0.4">
      <c r="A35" s="171" t="str">
        <f>IF($H$2&gt;10,"Verbindung Sprung 6","entfällt")</f>
        <v>Verbindung Sprung 6</v>
      </c>
      <c r="B35" s="172"/>
      <c r="C35" s="68" t="str">
        <f ca="1">IF(A35&lt;&gt;"entfällt",VLOOKUP(6,INDIRECT($C$68),2,0),"")</f>
        <v>800°</v>
      </c>
      <c r="D35" s="68">
        <f ca="1">IF(A35&lt;&gt;"entfällt",VLOOKUP(6,INDIRECT($C$68),3,0),"")</f>
        <v>10</v>
      </c>
      <c r="E35" s="68">
        <f ca="1">IF(A35&lt;&gt;"entfällt",VLOOKUP(6,INDIRECT($C$68),4,0),"")</f>
        <v>3</v>
      </c>
      <c r="F35" s="69">
        <v>2</v>
      </c>
      <c r="G35" s="72" t="str">
        <f>IF(H2&gt;12,"Wert - Abzug","entfällt")</f>
        <v>Wert - Abzug</v>
      </c>
      <c r="H35" s="70">
        <f>30-F30-F31-F32-F33-F34-F35</f>
        <v>20</v>
      </c>
    </row>
    <row r="36" spans="1:8" ht="15" thickBot="1" x14ac:dyDescent="0.4">
      <c r="A36" s="173" t="s">
        <v>41</v>
      </c>
      <c r="B36" s="174"/>
      <c r="C36" s="174"/>
      <c r="D36" s="174"/>
      <c r="E36" s="174"/>
      <c r="F36" s="174"/>
      <c r="G36" s="175"/>
      <c r="H36" s="89">
        <f ca="1">SUM(H20:H35)</f>
        <v>62.800000000000018</v>
      </c>
    </row>
    <row r="37" spans="1:8" ht="15" outlineLevel="1" thickBot="1" x14ac:dyDescent="0.4">
      <c r="A37" s="181" t="s">
        <v>99</v>
      </c>
      <c r="B37" s="182"/>
      <c r="C37" s="182"/>
      <c r="D37" s="183"/>
      <c r="E37" s="85" t="s">
        <v>27</v>
      </c>
      <c r="F37" s="85" t="s">
        <v>237</v>
      </c>
      <c r="G37" s="86" t="s">
        <v>28</v>
      </c>
      <c r="H37" s="49" t="s">
        <v>234</v>
      </c>
    </row>
    <row r="38" spans="1:8" outlineLevel="1" x14ac:dyDescent="0.35">
      <c r="A38" s="179" t="str">
        <f ca="1">VLOOKUP(1,INDIRECT($C$65),2,0)</f>
        <v>Flugrolle mit Überstrecken mit Anlauf</v>
      </c>
      <c r="B38" s="180"/>
      <c r="C38" s="180"/>
      <c r="D38" s="180"/>
      <c r="E38" s="92">
        <f ca="1">VLOOKUP(1,INDIRECT($C$65),3,0)</f>
        <v>3</v>
      </c>
      <c r="F38" s="79">
        <v>0</v>
      </c>
      <c r="G38" s="80" t="s">
        <v>146</v>
      </c>
      <c r="H38" s="84">
        <f ca="1">IF(E38=" ","",IF(F38="",0,E38-F38))</f>
        <v>3</v>
      </c>
    </row>
    <row r="39" spans="1:8" outlineLevel="1" x14ac:dyDescent="0.35">
      <c r="A39" s="163" t="str">
        <f ca="1">VLOOKUP(2,INDIRECT($C$65),2,0)</f>
        <v>--&gt; Strecksprung, Salto vorwärts gehockt</v>
      </c>
      <c r="B39" s="164"/>
      <c r="C39" s="164"/>
      <c r="D39" s="164"/>
      <c r="E39" s="87">
        <f ca="1">VLOOKUP(2,INDIRECT($C$65),3,0)</f>
        <v>4.5</v>
      </c>
      <c r="F39" s="43">
        <v>2</v>
      </c>
      <c r="G39" s="81" t="s">
        <v>146</v>
      </c>
      <c r="H39" s="84">
        <f t="shared" ref="H39:H49" ca="1" si="1">IF(E39=" ","",IF(F39="",0,E39-F39))</f>
        <v>2.5</v>
      </c>
    </row>
    <row r="40" spans="1:8" outlineLevel="1" x14ac:dyDescent="0.35">
      <c r="A40" s="163" t="str">
        <f ca="1">VLOOKUP(3,INDIRECT($C$65),2,0)</f>
        <v>Vorspreizen, Handstand mit 1/1 Drehung, abrollen</v>
      </c>
      <c r="B40" s="164"/>
      <c r="C40" s="164"/>
      <c r="D40" s="164"/>
      <c r="E40" s="87">
        <f ca="1">VLOOKUP(3,INDIRECT($C$65),3,0)</f>
        <v>3</v>
      </c>
      <c r="F40" s="43">
        <v>0</v>
      </c>
      <c r="G40" s="81" t="s">
        <v>146</v>
      </c>
      <c r="H40" s="84">
        <f t="shared" ca="1" si="1"/>
        <v>3</v>
      </c>
    </row>
    <row r="41" spans="1:8" outlineLevel="1" x14ac:dyDescent="0.35">
      <c r="A41" s="163" t="str">
        <f ca="1">VLOOKUP(4,INDIRECT($C$65),2,0)</f>
        <v>--&gt; Aufstehen mit gestreckten Beinen</v>
      </c>
      <c r="B41" s="164"/>
      <c r="C41" s="164"/>
      <c r="D41" s="164"/>
      <c r="E41" s="87">
        <f ca="1">VLOOKUP(4,INDIRECT($C$65),3,0)</f>
        <v>3</v>
      </c>
      <c r="F41" s="43">
        <v>1.5</v>
      </c>
      <c r="G41" s="81" t="s">
        <v>146</v>
      </c>
      <c r="H41" s="84">
        <f t="shared" ca="1" si="1"/>
        <v>1.5</v>
      </c>
    </row>
    <row r="42" spans="1:8" outlineLevel="1" x14ac:dyDescent="0.35">
      <c r="A42" s="163" t="str">
        <f ca="1">VLOOKUP(5,INDIRECT($C$65),2,0)</f>
        <v>Vorspreizen, Bestellschritt, Strecksprung 3/2 Drehung</v>
      </c>
      <c r="B42" s="164"/>
      <c r="C42" s="164"/>
      <c r="D42" s="164"/>
      <c r="E42" s="87">
        <f ca="1">VLOOKUP(5,INDIRECT($C$65),3,0)</f>
        <v>3</v>
      </c>
      <c r="F42" s="43">
        <v>0.5</v>
      </c>
      <c r="G42" s="81" t="s">
        <v>146</v>
      </c>
      <c r="H42" s="84">
        <f t="shared" ca="1" si="1"/>
        <v>2.5</v>
      </c>
    </row>
    <row r="43" spans="1:8" outlineLevel="1" x14ac:dyDescent="0.35">
      <c r="A43" s="163" t="str">
        <f ca="1">VLOOKUP(6,INDIRECT($C$65),2,0)</f>
        <v>Salto rückwärts gehockt</v>
      </c>
      <c r="B43" s="164"/>
      <c r="C43" s="164"/>
      <c r="D43" s="164"/>
      <c r="E43" s="87">
        <f ca="1">VLOOKUP(6,INDIRECT($C$65),3,0)</f>
        <v>3</v>
      </c>
      <c r="F43" s="43">
        <v>1</v>
      </c>
      <c r="G43" s="81" t="s">
        <v>146</v>
      </c>
      <c r="H43" s="84">
        <f t="shared" ca="1" si="1"/>
        <v>2</v>
      </c>
    </row>
    <row r="44" spans="1:8" outlineLevel="1" x14ac:dyDescent="0.35">
      <c r="A44" s="163" t="str">
        <f ca="1">VLOOKUP(7,INDIRECT($C$65),2,0)</f>
        <v>Handstützüberschlag</v>
      </c>
      <c r="B44" s="164"/>
      <c r="C44" s="164"/>
      <c r="D44" s="164"/>
      <c r="E44" s="87">
        <f ca="1">VLOOKUP(7,INDIRECT($C$65),3,0)</f>
        <v>3</v>
      </c>
      <c r="F44" s="43">
        <v>1.5</v>
      </c>
      <c r="G44" s="81" t="s">
        <v>146</v>
      </c>
      <c r="H44" s="84">
        <f t="shared" ca="1" si="1"/>
        <v>1.5</v>
      </c>
    </row>
    <row r="45" spans="1:8" outlineLevel="1" x14ac:dyDescent="0.35">
      <c r="A45" s="163" t="str">
        <f ca="1">VLOOKUP(8,INDIRECT($C$65),2,0)</f>
        <v>--&gt; Ansprung Schrittstellung, Handstand mit zwei Hüpfern</v>
      </c>
      <c r="B45" s="164"/>
      <c r="C45" s="164"/>
      <c r="D45" s="164"/>
      <c r="E45" s="87">
        <f ca="1">VLOOKUP(8,INDIRECT($C$65),3,0)</f>
        <v>3</v>
      </c>
      <c r="F45" s="43">
        <v>0</v>
      </c>
      <c r="G45" s="81" t="s">
        <v>146</v>
      </c>
      <c r="H45" s="84">
        <f t="shared" ca="1" si="1"/>
        <v>3</v>
      </c>
    </row>
    <row r="46" spans="1:8" outlineLevel="1" x14ac:dyDescent="0.35">
      <c r="A46" s="163" t="str">
        <f ca="1">VLOOKUP(9,INDIRECT($C$65),2,0)</f>
        <v>Abrollen --&gt; Strecksprung 1/2 Drehung</v>
      </c>
      <c r="B46" s="164"/>
      <c r="C46" s="164"/>
      <c r="D46" s="164"/>
      <c r="E46" s="87">
        <f ca="1">VLOOKUP(9,INDIRECT($C$65),3,0)</f>
        <v>1.5</v>
      </c>
      <c r="F46" s="43">
        <v>0</v>
      </c>
      <c r="G46" s="81" t="str">
        <f>IF(H2&gt;16,"","Wert - Abzug")</f>
        <v>Wert - Abzug</v>
      </c>
      <c r="H46" s="84">
        <f t="shared" ca="1" si="1"/>
        <v>1.5</v>
      </c>
    </row>
    <row r="47" spans="1:8" outlineLevel="1" x14ac:dyDescent="0.35">
      <c r="A47" s="163" t="str">
        <f ca="1">VLOOKUP(10,INDIRECT($C$65),2,0)</f>
        <v>Salto vorwärts gebückt mit Anlauf</v>
      </c>
      <c r="B47" s="164"/>
      <c r="C47" s="164"/>
      <c r="D47" s="164"/>
      <c r="E47" s="87">
        <f ca="1">VLOOKUP(10,INDIRECT($C$65),3,0)</f>
        <v>3</v>
      </c>
      <c r="F47" s="43">
        <v>0</v>
      </c>
      <c r="G47" s="81" t="str">
        <f>IF(H2&gt;16,"","Wert - Abzug")</f>
        <v>Wert - Abzug</v>
      </c>
      <c r="H47" s="84">
        <f t="shared" ca="1" si="1"/>
        <v>3</v>
      </c>
    </row>
    <row r="48" spans="1:8" outlineLevel="1" x14ac:dyDescent="0.35">
      <c r="A48" s="163" t="str">
        <f ca="1">VLOOKUP(11,INDIRECT($C$65),2,0)</f>
        <v xml:space="preserve"> </v>
      </c>
      <c r="B48" s="164"/>
      <c r="C48" s="164"/>
      <c r="D48" s="164"/>
      <c r="E48" s="87" t="str">
        <f ca="1">VLOOKUP(11,INDIRECT($C$65),3,0)</f>
        <v xml:space="preserve"> </v>
      </c>
      <c r="F48" s="43"/>
      <c r="G48" s="81" t="str">
        <f>IF(H2&gt;13,"","Wert - Abzug")</f>
        <v/>
      </c>
      <c r="H48" s="84" t="str">
        <f t="shared" ca="1" si="1"/>
        <v/>
      </c>
    </row>
    <row r="49" spans="1:8" ht="15" outlineLevel="1" thickBot="1" x14ac:dyDescent="0.4">
      <c r="A49" s="184" t="str">
        <f ca="1">VLOOKUP(12,INDIRECT($C$65),2,0)</f>
        <v xml:space="preserve"> </v>
      </c>
      <c r="B49" s="185"/>
      <c r="C49" s="185"/>
      <c r="D49" s="185"/>
      <c r="E49" s="93" t="str">
        <f ca="1">VLOOKUP(12,INDIRECT($C$65),3,0)</f>
        <v xml:space="preserve"> </v>
      </c>
      <c r="F49" s="82"/>
      <c r="G49" s="83" t="str">
        <f>IF(OR(H2=9,H2=12,H2=13),"Wert - Abzug","")</f>
        <v/>
      </c>
      <c r="H49" s="84" t="str">
        <f t="shared" ca="1" si="1"/>
        <v/>
      </c>
    </row>
    <row r="50" spans="1:8" ht="15" thickBot="1" x14ac:dyDescent="0.4">
      <c r="A50" s="176" t="s">
        <v>98</v>
      </c>
      <c r="B50" s="177"/>
      <c r="C50" s="177"/>
      <c r="D50" s="177"/>
      <c r="E50" s="177"/>
      <c r="F50" s="177"/>
      <c r="G50" s="178"/>
      <c r="H50" s="44">
        <f ca="1">SUM(H38:H49)</f>
        <v>23.5</v>
      </c>
    </row>
    <row r="51" spans="1:8" ht="16" thickBot="1" x14ac:dyDescent="0.4">
      <c r="A51" s="169" t="s">
        <v>42</v>
      </c>
      <c r="B51" s="170"/>
      <c r="C51" s="170"/>
      <c r="D51" s="170"/>
      <c r="E51" s="170"/>
      <c r="F51" s="170"/>
      <c r="G51" s="170"/>
      <c r="H51" s="94">
        <f ca="1">SUM(H9,H18,H36,H50)</f>
        <v>154.30000000000001</v>
      </c>
    </row>
    <row r="52" spans="1:8" s="23" customFormat="1" x14ac:dyDescent="0.35">
      <c r="D52" s="50"/>
      <c r="E52" s="50"/>
      <c r="F52" s="50"/>
      <c r="G52" s="50"/>
    </row>
    <row r="53" spans="1:8" s="23" customFormat="1" hidden="1" x14ac:dyDescent="0.35">
      <c r="C53" s="24"/>
      <c r="D53" s="50"/>
      <c r="E53" s="50"/>
      <c r="F53" s="50"/>
      <c r="G53" s="50"/>
    </row>
    <row r="54" spans="1:8" s="23" customFormat="1" hidden="1" x14ac:dyDescent="0.35">
      <c r="B54" s="23" t="s">
        <v>249</v>
      </c>
      <c r="C54" s="23" t="str">
        <f>IF(H2&lt;13,"beide",F1)</f>
        <v>männlich</v>
      </c>
      <c r="D54" s="50"/>
      <c r="E54" s="50"/>
      <c r="F54" s="50"/>
      <c r="G54" s="50"/>
    </row>
    <row r="55" spans="1:8" s="23" customFormat="1" hidden="1" x14ac:dyDescent="0.35">
      <c r="B55" s="23" t="s">
        <v>3</v>
      </c>
      <c r="C55" s="23" t="str">
        <f>IF(OR(H2=8,H2=11),H2,IF(H2&lt;11,"9_10",IF(H2&lt;14,"12_13",IF(H2&lt;16,"14_15",IF(H2&lt;18,"16_17",18)))))</f>
        <v>14_15</v>
      </c>
      <c r="D55" s="50"/>
      <c r="E55" s="50"/>
      <c r="F55" s="50"/>
      <c r="G55" s="50"/>
    </row>
    <row r="56" spans="1:8" s="23" customFormat="1" hidden="1" x14ac:dyDescent="0.35">
      <c r="D56" s="50"/>
      <c r="E56" s="50"/>
      <c r="F56" s="50"/>
      <c r="G56" s="50"/>
    </row>
    <row r="57" spans="1:8" s="23" customFormat="1" hidden="1" x14ac:dyDescent="0.35">
      <c r="B57" s="23" t="s">
        <v>251</v>
      </c>
      <c r="C57" s="23" t="str">
        <f>"TBN_"&amp;C54&amp;"_"&amp;C55</f>
        <v>TBN_männlich_14_15</v>
      </c>
      <c r="D57" s="50"/>
      <c r="E57" s="50"/>
      <c r="F57" s="50"/>
      <c r="G57" s="50"/>
    </row>
    <row r="58" spans="1:8" s="23" customFormat="1" hidden="1" x14ac:dyDescent="0.35">
      <c r="C58" s="23" t="str">
        <f>C57&amp;"[Beschreibung]"</f>
        <v>TBN_männlich_14_15[Beschreibung]</v>
      </c>
      <c r="D58" s="50"/>
      <c r="E58" s="50"/>
      <c r="F58" s="50"/>
      <c r="G58" s="50"/>
    </row>
    <row r="59" spans="1:8" s="23" customFormat="1" hidden="1" x14ac:dyDescent="0.35">
      <c r="D59" s="50"/>
      <c r="E59" s="50"/>
      <c r="F59" s="50"/>
      <c r="G59" s="50"/>
    </row>
    <row r="60" spans="1:8" s="23" customFormat="1" hidden="1" x14ac:dyDescent="0.35">
      <c r="B60" s="23" t="s">
        <v>147</v>
      </c>
      <c r="C60" s="23" t="str">
        <f>"TN_"&amp;C54&amp;"_"&amp;C55</f>
        <v>TN_männlich_14_15</v>
      </c>
      <c r="D60" s="50"/>
      <c r="E60" s="50"/>
      <c r="F60" s="50"/>
      <c r="G60" s="50"/>
    </row>
    <row r="61" spans="1:8" s="23" customFormat="1" hidden="1" x14ac:dyDescent="0.35">
      <c r="C61" s="23" t="str">
        <f>C60&amp;"[Beschreibung]"</f>
        <v>TN_männlich_14_15[Beschreibung]</v>
      </c>
      <c r="D61" s="50"/>
      <c r="E61" s="50"/>
      <c r="F61" s="50"/>
      <c r="G61" s="50"/>
    </row>
    <row r="62" spans="1:8" s="23" customFormat="1" hidden="1" x14ac:dyDescent="0.35">
      <c r="D62" s="50"/>
      <c r="E62" s="50"/>
      <c r="F62" s="50"/>
      <c r="G62" s="50"/>
    </row>
    <row r="63" spans="1:8" s="23" customFormat="1" hidden="1" x14ac:dyDescent="0.35">
      <c r="B63" s="23" t="s">
        <v>17</v>
      </c>
      <c r="C63" s="23" t="str">
        <f>"TV_"&amp;F1&amp;"_"&amp;C55</f>
        <v>TV_männlich_14_15</v>
      </c>
      <c r="D63" s="50"/>
      <c r="E63" s="50"/>
      <c r="F63" s="50"/>
      <c r="G63" s="50"/>
    </row>
    <row r="64" spans="1:8" s="23" customFormat="1" hidden="1" x14ac:dyDescent="0.35">
      <c r="D64" s="50"/>
      <c r="E64" s="50"/>
      <c r="F64" s="50"/>
      <c r="G64" s="50"/>
    </row>
    <row r="65" spans="2:7" s="23" customFormat="1" hidden="1" x14ac:dyDescent="0.35">
      <c r="B65" s="23" t="s">
        <v>252</v>
      </c>
      <c r="C65" s="23" t="str">
        <f>"BKÜ"&amp;IF(H2=9,"_9",IF(H2&lt;12,"_10_11",IF(H2&lt;14,"_12_13",IF(H2&lt;17,"_14_16","_17"))))</f>
        <v>BKÜ_14_16</v>
      </c>
      <c r="D65" s="50"/>
      <c r="E65" s="50"/>
      <c r="F65" s="50"/>
      <c r="G65" s="50"/>
    </row>
    <row r="66" spans="2:7" s="23" customFormat="1" hidden="1" x14ac:dyDescent="0.35">
      <c r="D66" s="50"/>
      <c r="E66" s="50"/>
      <c r="F66" s="50"/>
      <c r="G66" s="50"/>
    </row>
    <row r="67" spans="2:7" s="23" customFormat="1" hidden="1" x14ac:dyDescent="0.35">
      <c r="B67" s="23" t="s">
        <v>250</v>
      </c>
      <c r="C67" s="23" t="str">
        <f>IF(H2&lt;17,"beide",F1)</f>
        <v>beide</v>
      </c>
      <c r="D67" s="50"/>
      <c r="E67" s="50"/>
      <c r="F67" s="50"/>
      <c r="G67" s="50"/>
    </row>
    <row r="68" spans="2:7" s="23" customFormat="1" hidden="1" x14ac:dyDescent="0.35">
      <c r="B68" s="23" t="s">
        <v>17</v>
      </c>
      <c r="C68" s="23" t="str">
        <f>"TV_"&amp;C67&amp;"_"&amp;C55</f>
        <v>TV_beide_14_15</v>
      </c>
      <c r="D68" s="50"/>
      <c r="E68" s="50"/>
      <c r="F68" s="50"/>
      <c r="G68" s="50"/>
    </row>
    <row r="69" spans="2:7" x14ac:dyDescent="0.35"/>
    <row r="70" spans="2:7" x14ac:dyDescent="0.35"/>
  </sheetData>
  <sheetProtection algorithmName="SHA-512" hashValue="o5gTbJhfhoRJ9VaeqEGEuNdcnZmbx9VK+JiB2R6SyEViO7FBQuHHmoUeIo4C3Pp9L2FUtYGrJYvZltcTJ23hfQ==" saltValue="X1Z3w2SFKjk5g65t/eaSIw==" spinCount="100000" sheet="1" objects="1" scenarios="1" selectLockedCells="1"/>
  <protectedRanges>
    <protectedRange sqref="H1:H2 F1:F2 B1:B2" name="Athletendaten"/>
    <protectedRange sqref="F38:F49 C20:F35 D69:E440 C69:C441 F4:F8 C38:E68 C11:E16 F11:F17" name="Werte und Varianten"/>
    <protectedRange algorithmName="SHA-512" hashValue="EtPG7jm6pk6JVG08ToKZL4Sto4PS6TOUsygvFmj6DTfcGnX6DwKdfjTEg/2X1Hwnu/CwfNhBUSnXKs/oLqcupQ==" saltValue="sPse4fdTsI5OFESYvRIl8Q==" spinCount="100000" sqref="H4:H8 H38:H49 H20:H35 H11:H17" name="Punktzahlen"/>
  </protectedRanges>
  <mergeCells count="44">
    <mergeCell ref="A50:G50"/>
    <mergeCell ref="A51:G51"/>
    <mergeCell ref="A44:D44"/>
    <mergeCell ref="A45:D45"/>
    <mergeCell ref="A46:D46"/>
    <mergeCell ref="A47:D47"/>
    <mergeCell ref="A48:D48"/>
    <mergeCell ref="A49:D49"/>
    <mergeCell ref="A43:D43"/>
    <mergeCell ref="A32:B32"/>
    <mergeCell ref="A33:B33"/>
    <mergeCell ref="A34:B34"/>
    <mergeCell ref="A35:B35"/>
    <mergeCell ref="A36:G36"/>
    <mergeCell ref="A37:D37"/>
    <mergeCell ref="A38:D38"/>
    <mergeCell ref="A39:D39"/>
    <mergeCell ref="A40:D40"/>
    <mergeCell ref="A41:D41"/>
    <mergeCell ref="A42:D42"/>
    <mergeCell ref="A31:B31"/>
    <mergeCell ref="A13:E13"/>
    <mergeCell ref="A14:E14"/>
    <mergeCell ref="A15:E15"/>
    <mergeCell ref="A16:E16"/>
    <mergeCell ref="A18:G18"/>
    <mergeCell ref="A19:C19"/>
    <mergeCell ref="A20:B20"/>
    <mergeCell ref="A21:B21"/>
    <mergeCell ref="A22:B22"/>
    <mergeCell ref="A23:B23"/>
    <mergeCell ref="A30:B30"/>
    <mergeCell ref="A12:E12"/>
    <mergeCell ref="B1:E1"/>
    <mergeCell ref="B2:F2"/>
    <mergeCell ref="A3:E3"/>
    <mergeCell ref="A4:E4"/>
    <mergeCell ref="A5:E5"/>
    <mergeCell ref="A6:E6"/>
    <mergeCell ref="A7:E7"/>
    <mergeCell ref="A8:E8"/>
    <mergeCell ref="A9:G9"/>
    <mergeCell ref="A10:E10"/>
    <mergeCell ref="A11:E11"/>
  </mergeCells>
  <conditionalFormatting sqref="F46:F49">
    <cfRule type="expression" dxfId="270" priority="3">
      <formula>$A46=" "</formula>
    </cfRule>
  </conditionalFormatting>
  <conditionalFormatting sqref="B24:B29 C21:E29">
    <cfRule type="expression" dxfId="269" priority="2">
      <formula>$A21="entfällt"</formula>
    </cfRule>
    <cfRule type="expression" dxfId="268" priority="4">
      <formula>$H$2&gt;14</formula>
    </cfRule>
  </conditionalFormatting>
  <conditionalFormatting sqref="B24:B29">
    <cfRule type="expression" dxfId="267" priority="1">
      <formula>AND($A24="TN",$C24&lt;&gt;"")</formula>
    </cfRule>
  </conditionalFormatting>
  <dataValidations count="19">
    <dataValidation type="decimal" errorStyle="warning" allowBlank="1" showInputMessage="1" showErrorMessage="1" error="Eingegebener Abzug überschreitet maximal zulässigen Abzug, Wert bitte überprüfen!" sqref="F21:F35" xr:uid="{1FB41964-E2C9-458F-B860-DDE2EBC69F21}">
      <formula1>0</formula1>
      <formula2>$E21</formula2>
    </dataValidation>
    <dataValidation type="list" allowBlank="1" showInputMessage="1" showErrorMessage="1" sqref="C20" xr:uid="{11C9C38C-DE64-4F9E-BB48-6BF016C7D5AB}">
      <formula1>"Lichtschranke,Druckmessplatte"</formula1>
    </dataValidation>
    <dataValidation type="whole" allowBlank="1" showInputMessage="1" showErrorMessage="1" errorTitle="Falsche Eingabe" error="Bitte Wert prüfen" sqref="D17" xr:uid="{424F52E7-66ED-400F-A3B7-D8EBF643019E}">
      <formula1>1</formula1>
      <formula2>13</formula2>
    </dataValidation>
    <dataValidation type="list" allowBlank="1" showInputMessage="1" sqref="C24:C29" xr:uid="{5BC14658-CCB5-4BE8-8776-B572DB413512}">
      <formula1>INDIRECT($C$61)</formula1>
    </dataValidation>
    <dataValidation type="list" allowBlank="1" showInputMessage="1" sqref="C21:C23" xr:uid="{2E79154B-9BDB-4F29-8903-65118F9D2917}">
      <formula1>INDIRECT($C$58)</formula1>
    </dataValidation>
    <dataValidation allowBlank="1" showInputMessage="1" showErrorMessage="1" prompt="Anzahl der Wiederholungen" sqref="F11" xr:uid="{8C8677DE-B80F-48ED-8933-DAA6D5844EC0}"/>
    <dataValidation type="whole" allowBlank="1" showInputMessage="1" showErrorMessage="1" prompt="Abstand von der Oberkante des Turnhockers zur schlechtesten Fingerspitze in cm" sqref="F6" xr:uid="{CD31497D-8D01-4783-BE06-845A1971BDE1}">
      <formula1>-50</formula1>
      <formula2>50</formula2>
    </dataValidation>
    <dataValidation type="list" allowBlank="1" showInputMessage="1" showErrorMessage="1" prompt="Punktzahl nach Vergleich mit Bild" sqref="F5" xr:uid="{C5FC588A-10EA-47F9-A3A8-087C174548C8}">
      <formula1>"0,2,6,10"</formula1>
    </dataValidation>
    <dataValidation type="whole" allowBlank="1" showErrorMessage="1" errorTitle="Falsche Eingabe" error="Bitte Wert prüfen" prompt="Höchste erreichte Stufe" sqref="F17" xr:uid="{C3C55A28-87B1-47C6-A67B-CCBECC6130DF}">
      <formula1>1</formula1>
      <formula2>11</formula2>
    </dataValidation>
    <dataValidation allowBlank="1" sqref="D20:E20" xr:uid="{0868A0A6-2204-4C36-9229-396B021D967C}"/>
    <dataValidation type="decimal" errorStyle="warning" allowBlank="1" showInputMessage="1" showErrorMessage="1" error="Abzug höher als Wert des Elements, bitte überprüfen!" prompt="Abzug" sqref="F38:F49" xr:uid="{DFB54434-D96C-4666-B271-0E77564EEFE6}">
      <formula1>0</formula1>
      <formula2>$E38</formula2>
    </dataValidation>
    <dataValidation type="whole" allowBlank="1" showInputMessage="1" showErrorMessage="1" prompt="AKs 9 - 13: Übersprungene Kästchen_x000a__x000a_AKs 14 - 21: Anzahl Saltos" sqref="F15" xr:uid="{B68D83A2-AB79-4658-9083-8F542FBD6122}">
      <formula1>0</formula1>
      <formula2>50</formula2>
    </dataValidation>
    <dataValidation type="list" allowBlank="1" showInputMessage="1" showErrorMessage="1" sqref="F1" xr:uid="{C34B38B7-DDC9-424E-B5D2-5BD7BE6CC49D}">
      <formula1>"männlich,weiblich"</formula1>
    </dataValidation>
    <dataValidation type="whole" allowBlank="1" showInputMessage="1" showErrorMessage="1" sqref="H4:H8" xr:uid="{A12186CE-B1DC-44F0-8514-D34BAB148F33}">
      <formula1>0</formula1>
      <formula2>10</formula2>
    </dataValidation>
    <dataValidation type="whole" allowBlank="1" showInputMessage="1" showErrorMessage="1" prompt="Haltezeit in Sekunden" sqref="F13" xr:uid="{9EB39623-E04E-40D8-B95A-11E5AB6BCE09}">
      <formula1>0</formula1>
      <formula2>200</formula2>
    </dataValidation>
    <dataValidation type="whole" allowBlank="1" showInputMessage="1" showErrorMessage="1" prompt="Haltezeit in Sekunden" sqref="F16" xr:uid="{17AB49D5-22FD-4F56-AC61-42D251260350}">
      <formula1>0</formula1>
      <formula2>100</formula2>
    </dataValidation>
    <dataValidation type="whole" allowBlank="1" showInputMessage="1" showErrorMessage="1" prompt="Anzahl der Wiederholungen" sqref="F14 F12" xr:uid="{8E4DF630-D3DD-4D66-942C-776E7B674868}">
      <formula1>0</formula1>
      <formula2>50</formula2>
    </dataValidation>
    <dataValidation type="list" operator="equal" allowBlank="1" showInputMessage="1" showErrorMessage="1" prompt="Punktzahl nach Vergleich mit Bild" sqref="F4" xr:uid="{9BB88A43-F296-4C0F-B021-CB578B697EF4}">
      <formula1>"0,2,6,10"</formula1>
    </dataValidation>
    <dataValidation type="decimal" errorStyle="warning" showDropDown="1" showErrorMessage="1" error="Wert unrealistisch hoch, bitte Eingabe überprüfen" promptTitle="Vorsicht" sqref="F20" xr:uid="{161DE6ED-907C-43FA-8FDE-E21FDA09936D}">
      <formula1>0</formula1>
      <formula2>30</formula2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Bitte Werte aus Dropdown auswählen" prompt="Abstand vom Boden laut Schablone" xr:uid="{303AE3B3-A3DA-4BC2-9727-64AC87963FAD}">
          <x14:formula1>
            <xm:f>Punktetabellen!$A$3:$A$6</xm:f>
          </x14:formula1>
          <xm:sqref>F7:F8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4B37B-ED2A-4A3F-AF32-EF67C815A205}">
  <sheetPr codeName="Tabelle30">
    <tabColor indexed="44"/>
    <pageSetUpPr fitToPage="1"/>
  </sheetPr>
  <dimension ref="A1:J70"/>
  <sheetViews>
    <sheetView zoomScale="85" zoomScaleNormal="85" workbookViewId="0">
      <pane ySplit="2" topLeftCell="A47" activePane="bottomLeft" state="frozen"/>
      <selection sqref="A1:H1"/>
      <selection pane="bottomLeft" activeCell="C20" sqref="C20"/>
    </sheetView>
  </sheetViews>
  <sheetFormatPr baseColWidth="10" defaultColWidth="0" defaultRowHeight="14.5" zeroHeight="1" outlineLevelRow="1" x14ac:dyDescent="0.35"/>
  <cols>
    <col min="1" max="1" width="11.453125" customWidth="1"/>
    <col min="2" max="2" width="12.1796875" customWidth="1"/>
    <col min="3" max="3" width="44.81640625" bestFit="1" customWidth="1"/>
    <col min="4" max="5" width="11.453125" style="154" customWidth="1"/>
    <col min="6" max="6" width="16.1796875" style="154" bestFit="1" customWidth="1"/>
    <col min="7" max="7" width="13.81640625" style="154" customWidth="1"/>
    <col min="8" max="8" width="11.453125" customWidth="1"/>
    <col min="9" max="9" width="6.1796875" style="23" hidden="1" customWidth="1"/>
    <col min="10" max="10" width="0" hidden="1" customWidth="1"/>
    <col min="11" max="16384" width="11.453125" hidden="1"/>
  </cols>
  <sheetData>
    <row r="1" spans="1:8" ht="15.5" x14ac:dyDescent="0.35">
      <c r="A1" s="16" t="s">
        <v>1</v>
      </c>
      <c r="B1" s="186" t="s">
        <v>391</v>
      </c>
      <c r="C1" s="187"/>
      <c r="D1" s="187"/>
      <c r="E1" s="188"/>
      <c r="F1" s="51" t="s">
        <v>96</v>
      </c>
      <c r="G1" s="61" t="s">
        <v>24</v>
      </c>
      <c r="H1" s="63">
        <v>2007</v>
      </c>
    </row>
    <row r="2" spans="1:8" ht="16" thickBot="1" x14ac:dyDescent="0.4">
      <c r="A2" s="17" t="s">
        <v>4</v>
      </c>
      <c r="B2" s="198" t="s">
        <v>390</v>
      </c>
      <c r="C2" s="199"/>
      <c r="D2" s="199"/>
      <c r="E2" s="199"/>
      <c r="F2" s="200"/>
      <c r="G2" s="62" t="s">
        <v>3</v>
      </c>
      <c r="H2" s="64">
        <f>2022-H1</f>
        <v>15</v>
      </c>
    </row>
    <row r="3" spans="1:8" ht="15" outlineLevel="1" thickBot="1" x14ac:dyDescent="0.4">
      <c r="A3" s="189" t="s">
        <v>26</v>
      </c>
      <c r="B3" s="190"/>
      <c r="C3" s="190"/>
      <c r="D3" s="190"/>
      <c r="E3" s="191"/>
      <c r="F3" s="46" t="s">
        <v>27</v>
      </c>
      <c r="G3" s="47" t="s">
        <v>28</v>
      </c>
      <c r="H3" s="22" t="s">
        <v>234</v>
      </c>
    </row>
    <row r="4" spans="1:8" outlineLevel="1" x14ac:dyDescent="0.35">
      <c r="A4" s="192" t="s">
        <v>30</v>
      </c>
      <c r="B4" s="193"/>
      <c r="C4" s="193"/>
      <c r="D4" s="193"/>
      <c r="E4" s="194"/>
      <c r="F4" s="25">
        <v>10</v>
      </c>
      <c r="G4" s="55" t="s">
        <v>32</v>
      </c>
      <c r="H4" s="34">
        <f>F4</f>
        <v>10</v>
      </c>
    </row>
    <row r="5" spans="1:8" outlineLevel="1" x14ac:dyDescent="0.35">
      <c r="A5" s="195" t="s">
        <v>85</v>
      </c>
      <c r="B5" s="196"/>
      <c r="C5" s="196"/>
      <c r="D5" s="196"/>
      <c r="E5" s="197"/>
      <c r="F5" s="14">
        <v>6</v>
      </c>
      <c r="G5" s="56" t="s">
        <v>32</v>
      </c>
      <c r="H5" s="35">
        <f>F5</f>
        <v>6</v>
      </c>
    </row>
    <row r="6" spans="1:8" outlineLevel="1" x14ac:dyDescent="0.35">
      <c r="A6" s="195" t="s">
        <v>33</v>
      </c>
      <c r="B6" s="196"/>
      <c r="C6" s="196"/>
      <c r="D6" s="196"/>
      <c r="E6" s="197"/>
      <c r="F6" s="14">
        <v>20</v>
      </c>
      <c r="G6" s="56" t="s">
        <v>31</v>
      </c>
      <c r="H6" s="35">
        <f>IF(F6="",0,VLOOKUP(F6,Punktetabellen!A10:B15,2,1))</f>
        <v>10</v>
      </c>
    </row>
    <row r="7" spans="1:8" outlineLevel="1" x14ac:dyDescent="0.35">
      <c r="A7" s="195" t="s">
        <v>34</v>
      </c>
      <c r="B7" s="196"/>
      <c r="C7" s="196"/>
      <c r="D7" s="196"/>
      <c r="E7" s="197"/>
      <c r="F7" s="14">
        <v>0</v>
      </c>
      <c r="G7" s="56" t="s">
        <v>31</v>
      </c>
      <c r="H7" s="35">
        <f>IF(F7="",0,VLOOKUP(F7,Punktetabellen!A3:B6,2,0))</f>
        <v>5</v>
      </c>
    </row>
    <row r="8" spans="1:8" ht="15" outlineLevel="1" thickBot="1" x14ac:dyDescent="0.4">
      <c r="A8" s="204" t="s">
        <v>35</v>
      </c>
      <c r="B8" s="205"/>
      <c r="C8" s="205"/>
      <c r="D8" s="205"/>
      <c r="E8" s="206"/>
      <c r="F8" s="41">
        <v>0</v>
      </c>
      <c r="G8" s="57" t="s">
        <v>31</v>
      </c>
      <c r="H8" s="36">
        <f>IF(F8="",0,VLOOKUP(F8,Punktetabellen!A3:B6,2,0))</f>
        <v>5</v>
      </c>
    </row>
    <row r="9" spans="1:8" ht="15" thickBot="1" x14ac:dyDescent="0.4">
      <c r="A9" s="210" t="s">
        <v>36</v>
      </c>
      <c r="B9" s="211"/>
      <c r="C9" s="211"/>
      <c r="D9" s="211"/>
      <c r="E9" s="211"/>
      <c r="F9" s="211"/>
      <c r="G9" s="211"/>
      <c r="H9" s="48">
        <f>SUM(H4:H8)</f>
        <v>36</v>
      </c>
    </row>
    <row r="10" spans="1:8" ht="15" outlineLevel="1" thickBot="1" x14ac:dyDescent="0.4">
      <c r="A10" s="189" t="s">
        <v>26</v>
      </c>
      <c r="B10" s="190"/>
      <c r="C10" s="190"/>
      <c r="D10" s="190"/>
      <c r="E10" s="191"/>
      <c r="F10" s="46" t="s">
        <v>27</v>
      </c>
      <c r="G10" s="47" t="s">
        <v>28</v>
      </c>
      <c r="H10" s="22" t="s">
        <v>234</v>
      </c>
    </row>
    <row r="11" spans="1:8" outlineLevel="1" x14ac:dyDescent="0.35">
      <c r="A11" s="207" t="s">
        <v>37</v>
      </c>
      <c r="B11" s="208"/>
      <c r="C11" s="208"/>
      <c r="D11" s="208"/>
      <c r="E11" s="209"/>
      <c r="F11" s="26">
        <v>10</v>
      </c>
      <c r="G11" s="58" t="s">
        <v>31</v>
      </c>
      <c r="H11" s="37">
        <f>IF($F11="",0,VLOOKUP($F11,Pkte_Klimmzug[],$H$2,1))</f>
        <v>7</v>
      </c>
    </row>
    <row r="12" spans="1:8" outlineLevel="1" x14ac:dyDescent="0.35">
      <c r="A12" s="201" t="s">
        <v>38</v>
      </c>
      <c r="B12" s="202"/>
      <c r="C12" s="202"/>
      <c r="D12" s="202"/>
      <c r="E12" s="203"/>
      <c r="F12" s="27">
        <v>0</v>
      </c>
      <c r="G12" s="59" t="s">
        <v>31</v>
      </c>
      <c r="H12" s="38">
        <f>IF($F12="",0,VLOOKUP($F12,Pkte_Beinheben[],$H$2,1))</f>
        <v>0</v>
      </c>
    </row>
    <row r="13" spans="1:8" outlineLevel="1" x14ac:dyDescent="0.35">
      <c r="A13" s="201" t="s">
        <v>88</v>
      </c>
      <c r="B13" s="202"/>
      <c r="C13" s="202"/>
      <c r="D13" s="202"/>
      <c r="E13" s="203"/>
      <c r="F13" s="27">
        <v>95</v>
      </c>
      <c r="G13" s="59" t="s">
        <v>31</v>
      </c>
      <c r="H13" s="38">
        <f>IF($F13="",0,VLOOKUP($F13,Pkte_Flieger[],$H$2,1))</f>
        <v>7</v>
      </c>
    </row>
    <row r="14" spans="1:8" outlineLevel="1" x14ac:dyDescent="0.35">
      <c r="A14" s="201" t="s">
        <v>39</v>
      </c>
      <c r="B14" s="202"/>
      <c r="C14" s="202"/>
      <c r="D14" s="202"/>
      <c r="E14" s="203"/>
      <c r="F14" s="27">
        <v>25</v>
      </c>
      <c r="G14" s="59" t="s">
        <v>31</v>
      </c>
      <c r="H14" s="38">
        <f>IF($F14="",0,VLOOKUP($F14,Pkte_Rollenverbindung[],$H$2,1))</f>
        <v>8</v>
      </c>
    </row>
    <row r="15" spans="1:8" outlineLevel="1" x14ac:dyDescent="0.35">
      <c r="A15" s="201" t="s">
        <v>89</v>
      </c>
      <c r="B15" s="202"/>
      <c r="C15" s="202"/>
      <c r="D15" s="202"/>
      <c r="E15" s="203"/>
      <c r="F15" s="27">
        <v>10</v>
      </c>
      <c r="G15" s="59" t="s">
        <v>31</v>
      </c>
      <c r="H15" s="38">
        <f>IF($F15="",0,VLOOKUP($F15,Pkte_Prellsprung[],$H$2,1))</f>
        <v>10</v>
      </c>
    </row>
    <row r="16" spans="1:8" outlineLevel="1" x14ac:dyDescent="0.35">
      <c r="A16" s="201" t="s">
        <v>90</v>
      </c>
      <c r="B16" s="202"/>
      <c r="C16" s="202"/>
      <c r="D16" s="202"/>
      <c r="E16" s="203"/>
      <c r="F16" s="28">
        <v>30</v>
      </c>
      <c r="G16" s="59" t="s">
        <v>31</v>
      </c>
      <c r="H16" s="38">
        <f>IF($F16="",0,VLOOKUP($F16,Pkte_Handstand[],$H$2,1))</f>
        <v>10</v>
      </c>
    </row>
    <row r="17" spans="1:8" ht="15" outlineLevel="1" thickBot="1" x14ac:dyDescent="0.4">
      <c r="A17" s="112" t="s">
        <v>93</v>
      </c>
      <c r="B17" s="113"/>
      <c r="C17" s="114" t="s">
        <v>269</v>
      </c>
      <c r="D17" s="29">
        <v>9</v>
      </c>
      <c r="E17" s="115" t="s">
        <v>270</v>
      </c>
      <c r="F17" s="29">
        <v>1</v>
      </c>
      <c r="G17" s="60" t="s">
        <v>31</v>
      </c>
      <c r="H17" s="39">
        <f>IF($F17="",0,IF($F$1="weiblich",VLOOKUP((100*$D17+$F17),Pkte_Shuttle_W[],$H$2,1),VLOOKUP((100*$D17+$F17),Pkte_Shuttle_M[],$H$2,1)))</f>
        <v>4</v>
      </c>
    </row>
    <row r="18" spans="1:8" ht="15" thickBot="1" x14ac:dyDescent="0.4">
      <c r="A18" s="161" t="s">
        <v>40</v>
      </c>
      <c r="B18" s="162"/>
      <c r="C18" s="162"/>
      <c r="D18" s="162"/>
      <c r="E18" s="162"/>
      <c r="F18" s="162"/>
      <c r="G18" s="162"/>
      <c r="H18" s="48">
        <f>SUM(H11:H17)</f>
        <v>46</v>
      </c>
    </row>
    <row r="19" spans="1:8" ht="15" outlineLevel="1" thickBot="1" x14ac:dyDescent="0.4">
      <c r="A19" s="159" t="s">
        <v>26</v>
      </c>
      <c r="B19" s="160"/>
      <c r="C19" s="160"/>
      <c r="D19" s="85" t="s">
        <v>235</v>
      </c>
      <c r="E19" s="85" t="s">
        <v>238</v>
      </c>
      <c r="F19" s="85" t="s">
        <v>236</v>
      </c>
      <c r="G19" s="86" t="s">
        <v>28</v>
      </c>
      <c r="H19" s="49" t="s">
        <v>234</v>
      </c>
    </row>
    <row r="20" spans="1:8" outlineLevel="1" x14ac:dyDescent="0.35">
      <c r="A20" s="167" t="s">
        <v>148</v>
      </c>
      <c r="B20" s="168"/>
      <c r="C20" s="116" t="s">
        <v>277</v>
      </c>
      <c r="D20" s="90">
        <f>IF(F1="männlich",VLOOKUP(H2,Standsprünge!A3:C15,3,0),VLOOKUP(H2,Standsprünge!A3:B15,2,0))+IF(C20="Druckmessplatte",0)</f>
        <v>16.399999999999999</v>
      </c>
      <c r="E20" s="90"/>
      <c r="F20" s="67">
        <v>16.62</v>
      </c>
      <c r="G20" s="91" t="s">
        <v>149</v>
      </c>
      <c r="H20" s="88">
        <f>IF(F20="",0,(F20-D20)*10)</f>
        <v>2.2000000000000242</v>
      </c>
    </row>
    <row r="21" spans="1:8" outlineLevel="1" x14ac:dyDescent="0.35">
      <c r="A21" s="165" t="str">
        <f>IF(H2&gt;15,"entfällt","TBN")</f>
        <v>TBN</v>
      </c>
      <c r="B21" s="166"/>
      <c r="C21" s="77" t="s">
        <v>197</v>
      </c>
      <c r="D21" s="78">
        <f ca="1">IF(C21="","",VLOOKUP(C21,INDIRECT($C$57),2,0))</f>
        <v>10</v>
      </c>
      <c r="E21" s="78">
        <f ca="1">IF(C21="","",VLOOKUP(C21,INDIRECT($C$57),3,0))</f>
        <v>6</v>
      </c>
      <c r="F21" s="42">
        <v>2</v>
      </c>
      <c r="G21" s="71" t="str">
        <f>IF(H2&gt;16,"entfällt","Wert - Abzug")</f>
        <v>Wert - Abzug</v>
      </c>
      <c r="H21" s="66">
        <f ca="1">IF(A21="entfällt",0,IF(F21="",0,D21-F21))</f>
        <v>8</v>
      </c>
    </row>
    <row r="22" spans="1:8" outlineLevel="1" x14ac:dyDescent="0.35">
      <c r="A22" s="165" t="str">
        <f>IF(H2&gt;15,"entfällt","TBN")</f>
        <v>TBN</v>
      </c>
      <c r="B22" s="166"/>
      <c r="C22" s="77" t="s">
        <v>406</v>
      </c>
      <c r="D22" s="78">
        <v>10</v>
      </c>
      <c r="E22" s="78">
        <v>6</v>
      </c>
      <c r="F22" s="42">
        <v>6</v>
      </c>
      <c r="G22" s="71" t="str">
        <f>IF(H2&gt;16,"entfällt","Wert - Abzug")</f>
        <v>Wert - Abzug</v>
      </c>
      <c r="H22" s="66">
        <f t="shared" ref="H22:H28" si="0">IF(A22="entfällt",0,IF(F22="",0,D22-F22))</f>
        <v>4</v>
      </c>
    </row>
    <row r="23" spans="1:8" outlineLevel="1" x14ac:dyDescent="0.35">
      <c r="A23" s="165" t="str">
        <f>IF(H2&gt;11,"entfällt","TBN")</f>
        <v>entfällt</v>
      </c>
      <c r="B23" s="166"/>
      <c r="C23" s="77"/>
      <c r="D23" s="78" t="str">
        <f ca="1">IF(C23="","",VLOOKUP(C23,INDIRECT($C$57),2,0))</f>
        <v/>
      </c>
      <c r="E23" s="78" t="str">
        <f ca="1">IF(C23="","",VLOOKUP(C23,INDIRECT($C$57),3,0))</f>
        <v/>
      </c>
      <c r="F23" s="42"/>
      <c r="G23" s="71" t="str">
        <f>IF(H2&gt;16,"entfällt","Wert - Abzug")</f>
        <v>Wert - Abzug</v>
      </c>
      <c r="H23" s="66">
        <f t="shared" si="0"/>
        <v>0</v>
      </c>
    </row>
    <row r="24" spans="1:8" outlineLevel="1" x14ac:dyDescent="0.35">
      <c r="A24" s="110" t="s">
        <v>147</v>
      </c>
      <c r="B24" s="111"/>
      <c r="C24" s="77" t="s">
        <v>185</v>
      </c>
      <c r="D24" s="78">
        <v>15</v>
      </c>
      <c r="E24" s="78">
        <v>6</v>
      </c>
      <c r="F24" s="42">
        <v>4</v>
      </c>
      <c r="G24" s="71" t="s">
        <v>146</v>
      </c>
      <c r="H24" s="66">
        <f t="shared" si="0"/>
        <v>11</v>
      </c>
    </row>
    <row r="25" spans="1:8" outlineLevel="1" x14ac:dyDescent="0.35">
      <c r="A25" s="110" t="s">
        <v>147</v>
      </c>
      <c r="B25" s="111"/>
      <c r="C25" s="77" t="s">
        <v>187</v>
      </c>
      <c r="D25" s="78">
        <v>12</v>
      </c>
      <c r="E25" s="78">
        <v>6</v>
      </c>
      <c r="F25" s="42">
        <v>6</v>
      </c>
      <c r="G25" s="71" t="s">
        <v>146</v>
      </c>
      <c r="H25" s="66">
        <f t="shared" si="0"/>
        <v>6</v>
      </c>
    </row>
    <row r="26" spans="1:8" outlineLevel="1" x14ac:dyDescent="0.35">
      <c r="A26" s="110" t="s">
        <v>147</v>
      </c>
      <c r="B26" s="111"/>
      <c r="C26" s="77" t="s">
        <v>186</v>
      </c>
      <c r="D26" s="78">
        <v>14</v>
      </c>
      <c r="E26" s="78">
        <v>6</v>
      </c>
      <c r="F26" s="42">
        <v>4</v>
      </c>
      <c r="G26" s="71" t="s">
        <v>146</v>
      </c>
      <c r="H26" s="66">
        <f t="shared" si="0"/>
        <v>10</v>
      </c>
    </row>
    <row r="27" spans="1:8" outlineLevel="1" x14ac:dyDescent="0.35">
      <c r="A27" s="110" t="str">
        <f>IF(H2&gt;11,"TN","entfällt")</f>
        <v>TN</v>
      </c>
      <c r="B27" s="111"/>
      <c r="C27" s="77" t="s">
        <v>254</v>
      </c>
      <c r="D27" s="78">
        <v>13</v>
      </c>
      <c r="E27" s="78">
        <v>6</v>
      </c>
      <c r="F27" s="42">
        <v>4</v>
      </c>
      <c r="G27" s="71" t="str">
        <f>IF(H2&gt;12,"Wert - Abzug","entfällt")</f>
        <v>Wert - Abzug</v>
      </c>
      <c r="H27" s="66">
        <f t="shared" si="0"/>
        <v>9</v>
      </c>
    </row>
    <row r="28" spans="1:8" outlineLevel="1" x14ac:dyDescent="0.35">
      <c r="A28" s="110" t="str">
        <f>IF(H2&gt;15,"TN","entfällt")</f>
        <v>entfällt</v>
      </c>
      <c r="B28" s="111"/>
      <c r="C28" s="77"/>
      <c r="D28" s="78"/>
      <c r="E28" s="78"/>
      <c r="F28" s="42"/>
      <c r="G28" s="71" t="str">
        <f>IF(H2&gt;16,"Wert - Abzug","entfällt")</f>
        <v>entfällt</v>
      </c>
      <c r="H28" s="66">
        <f t="shared" si="0"/>
        <v>0</v>
      </c>
    </row>
    <row r="29" spans="1:8" outlineLevel="1" x14ac:dyDescent="0.35">
      <c r="A29" s="110" t="str">
        <f>IF(H2&gt;15,"TN","entfällt")</f>
        <v>entfällt</v>
      </c>
      <c r="B29" s="111"/>
      <c r="C29" s="77"/>
      <c r="D29" s="78"/>
      <c r="E29" s="78"/>
      <c r="F29" s="42"/>
      <c r="G29" s="71" t="str">
        <f>IF(H2&gt;16,"Wert - Abzug","entfällt")</f>
        <v>entfällt</v>
      </c>
      <c r="H29" s="66">
        <f>IF(A29="entfällt",0,IF(F29="",0,D29-F29))</f>
        <v>0</v>
      </c>
    </row>
    <row r="30" spans="1:8" outlineLevel="1" x14ac:dyDescent="0.35">
      <c r="A30" s="165" t="str">
        <f>IF($H$2&gt;10,"Verbindung Sprung 1","entfällt")</f>
        <v>Verbindung Sprung 1</v>
      </c>
      <c r="B30" s="166"/>
      <c r="C30" s="40" t="str">
        <f ca="1">IF(A30&lt;&gt;"entfällt",VLOOKUP(1,INDIRECT($C$68),2,0),"")</f>
        <v>801&lt;</v>
      </c>
      <c r="D30" s="40">
        <f ca="1">IF(A30&lt;&gt;"entfällt",VLOOKUP(1,INDIRECT($C$68),3,0),"")</f>
        <v>13</v>
      </c>
      <c r="E30" s="40">
        <f ca="1">IF(A30&lt;&gt;"entfällt",VLOOKUP(1,INDIRECT($C$68),4,0),"")</f>
        <v>3</v>
      </c>
      <c r="F30" s="42">
        <v>2</v>
      </c>
      <c r="G30" s="71" t="str">
        <f>IF(H2&gt;12,"Wert - Abzug","entfällt")</f>
        <v>Wert - Abzug</v>
      </c>
      <c r="H30" s="66"/>
    </row>
    <row r="31" spans="1:8" outlineLevel="1" x14ac:dyDescent="0.35">
      <c r="A31" s="165" t="str">
        <f>IF($H$2&gt;10,"Verbindung Sprung 2","entfällt")</f>
        <v>Verbindung Sprung 2</v>
      </c>
      <c r="B31" s="166"/>
      <c r="C31" s="40" t="str">
        <f ca="1">IF(A31&lt;&gt;"entfällt",VLOOKUP(2,INDIRECT($C$68),2,0),"")</f>
        <v>40&lt;</v>
      </c>
      <c r="D31" s="40">
        <f ca="1">IF(A31&lt;&gt;"entfällt",VLOOKUP(2,INDIRECT($C$68),3,0),"")</f>
        <v>6</v>
      </c>
      <c r="E31" s="40">
        <f ca="1">IF(A31&lt;&gt;"entfällt",VLOOKUP(2,INDIRECT($C$68),4,0),"")</f>
        <v>3</v>
      </c>
      <c r="F31" s="42">
        <v>2</v>
      </c>
      <c r="G31" s="71" t="str">
        <f>IF(H2&gt;12,"Wert - Abzug","entfällt")</f>
        <v>Wert - Abzug</v>
      </c>
      <c r="H31" s="66"/>
    </row>
    <row r="32" spans="1:8" outlineLevel="1" x14ac:dyDescent="0.35">
      <c r="A32" s="165" t="str">
        <f>IF($H$2&gt;10,"Verbindung Sprung 3","entfällt")</f>
        <v>Verbindung Sprung 3</v>
      </c>
      <c r="B32" s="166"/>
      <c r="C32" s="40" t="str">
        <f ca="1">IF(A32&lt;&gt;"entfällt",VLOOKUP(3,INDIRECT($C$68),2,0),"")</f>
        <v>801°</v>
      </c>
      <c r="D32" s="40">
        <f ca="1">IF(A32&lt;&gt;"entfällt",VLOOKUP(3,INDIRECT($C$68),3,0),"")</f>
        <v>11</v>
      </c>
      <c r="E32" s="40">
        <f ca="1">IF(A32&lt;&gt;"entfällt",VLOOKUP(3,INDIRECT($C$68),4,0),"")</f>
        <v>3</v>
      </c>
      <c r="F32" s="42">
        <v>2</v>
      </c>
      <c r="G32" s="71" t="str">
        <f>IF(H2&gt;12,"Wert - Abzug","entfällt")</f>
        <v>Wert - Abzug</v>
      </c>
      <c r="H32" s="66"/>
    </row>
    <row r="33" spans="1:8" outlineLevel="1" x14ac:dyDescent="0.35">
      <c r="A33" s="165" t="str">
        <f>IF($H$2&gt;10,"Verbindung Sprung 4","entfällt")</f>
        <v>Verbindung Sprung 4</v>
      </c>
      <c r="B33" s="166"/>
      <c r="C33" s="40" t="str">
        <f ca="1">IF(A33&lt;&gt;"entfällt",VLOOKUP(4,INDIRECT($C$68),2,0),"")</f>
        <v>40/</v>
      </c>
      <c r="D33" s="40">
        <f ca="1">IF(A33&lt;&gt;"entfällt",VLOOKUP(4,INDIRECT($C$68),3,0),"")</f>
        <v>6</v>
      </c>
      <c r="E33" s="40">
        <f ca="1">IF(A33&lt;&gt;"entfällt",VLOOKUP(4,INDIRECT($C$68),4,0),"")</f>
        <v>3</v>
      </c>
      <c r="F33" s="42">
        <v>3</v>
      </c>
      <c r="G33" s="71" t="str">
        <f>IF(H2&gt;12,"Wert - Abzug","entfällt")</f>
        <v>Wert - Abzug</v>
      </c>
      <c r="H33" s="66"/>
    </row>
    <row r="34" spans="1:8" outlineLevel="1" x14ac:dyDescent="0.35">
      <c r="A34" s="165" t="str">
        <f>IF($H$2&gt;10,"Verbindung Sprung 5","entfällt")</f>
        <v>Verbindung Sprung 5</v>
      </c>
      <c r="B34" s="166"/>
      <c r="C34" s="40" t="str">
        <f ca="1">IF(A34&lt;&gt;"entfällt",VLOOKUP(5,INDIRECT($C$68),2,0),"")</f>
        <v>41/</v>
      </c>
      <c r="D34" s="40">
        <f ca="1">IF(A34&lt;&gt;"entfällt",VLOOKUP(5,INDIRECT($C$68),3,0),"")</f>
        <v>6</v>
      </c>
      <c r="E34" s="40">
        <f ca="1">IF(A34&lt;&gt;"entfällt",VLOOKUP(5,INDIRECT($C$68),4,0),"")</f>
        <v>3</v>
      </c>
      <c r="F34" s="42">
        <v>3</v>
      </c>
      <c r="G34" s="71" t="str">
        <f>IF(H2&gt;12,"Wert - Abzug","entfällt")</f>
        <v>Wert - Abzug</v>
      </c>
      <c r="H34" s="66"/>
    </row>
    <row r="35" spans="1:8" ht="15" outlineLevel="1" thickBot="1" x14ac:dyDescent="0.4">
      <c r="A35" s="171" t="str">
        <f>IF($H$2&gt;10,"Verbindung Sprung 6","entfällt")</f>
        <v>Verbindung Sprung 6</v>
      </c>
      <c r="B35" s="172"/>
      <c r="C35" s="68" t="str">
        <f ca="1">IF(A35&lt;&gt;"entfällt",VLOOKUP(6,INDIRECT($C$68),2,0),"")</f>
        <v>800°</v>
      </c>
      <c r="D35" s="68">
        <f ca="1">IF(A35&lt;&gt;"entfällt",VLOOKUP(6,INDIRECT($C$68),3,0),"")</f>
        <v>10</v>
      </c>
      <c r="E35" s="68">
        <f ca="1">IF(A35&lt;&gt;"entfällt",VLOOKUP(6,INDIRECT($C$68),4,0),"")</f>
        <v>3</v>
      </c>
      <c r="F35" s="69">
        <v>3</v>
      </c>
      <c r="G35" s="72" t="str">
        <f>IF(H2&gt;12,"Wert - Abzug","entfällt")</f>
        <v>Wert - Abzug</v>
      </c>
      <c r="H35" s="70">
        <f>30-F30-F31-F32-F33-F34-F35</f>
        <v>15</v>
      </c>
    </row>
    <row r="36" spans="1:8" ht="15" thickBot="1" x14ac:dyDescent="0.4">
      <c r="A36" s="173" t="s">
        <v>41</v>
      </c>
      <c r="B36" s="174"/>
      <c r="C36" s="174"/>
      <c r="D36" s="174"/>
      <c r="E36" s="174"/>
      <c r="F36" s="174"/>
      <c r="G36" s="175"/>
      <c r="H36" s="89">
        <f ca="1">SUM(H20:H35)</f>
        <v>65.200000000000017</v>
      </c>
    </row>
    <row r="37" spans="1:8" ht="15" outlineLevel="1" thickBot="1" x14ac:dyDescent="0.4">
      <c r="A37" s="181" t="s">
        <v>99</v>
      </c>
      <c r="B37" s="182"/>
      <c r="C37" s="182"/>
      <c r="D37" s="183"/>
      <c r="E37" s="85" t="s">
        <v>27</v>
      </c>
      <c r="F37" s="85" t="s">
        <v>237</v>
      </c>
      <c r="G37" s="86" t="s">
        <v>28</v>
      </c>
      <c r="H37" s="49" t="s">
        <v>234</v>
      </c>
    </row>
    <row r="38" spans="1:8" outlineLevel="1" x14ac:dyDescent="0.35">
      <c r="A38" s="179" t="str">
        <f ca="1">VLOOKUP(1,INDIRECT($C$65),2,0)</f>
        <v>Flugrolle mit Überstrecken mit Anlauf</v>
      </c>
      <c r="B38" s="180"/>
      <c r="C38" s="180"/>
      <c r="D38" s="180"/>
      <c r="E38" s="92">
        <f ca="1">VLOOKUP(1,INDIRECT($C$65),3,0)</f>
        <v>3</v>
      </c>
      <c r="F38" s="79">
        <v>0</v>
      </c>
      <c r="G38" s="80" t="s">
        <v>146</v>
      </c>
      <c r="H38" s="84">
        <f ca="1">IF(E38=" ","",IF(F38="",0,E38-F38))</f>
        <v>3</v>
      </c>
    </row>
    <row r="39" spans="1:8" outlineLevel="1" x14ac:dyDescent="0.35">
      <c r="A39" s="163" t="str">
        <f ca="1">VLOOKUP(2,INDIRECT($C$65),2,0)</f>
        <v>--&gt; Strecksprung, Salto vorwärts gehockt</v>
      </c>
      <c r="B39" s="164"/>
      <c r="C39" s="164"/>
      <c r="D39" s="164"/>
      <c r="E39" s="87">
        <f ca="1">VLOOKUP(2,INDIRECT($C$65),3,0)</f>
        <v>4.5</v>
      </c>
      <c r="F39" s="43">
        <v>4.5</v>
      </c>
      <c r="G39" s="81" t="s">
        <v>146</v>
      </c>
      <c r="H39" s="84">
        <f t="shared" ref="H39:H49" ca="1" si="1">IF(E39=" ","",IF(F39="",0,E39-F39))</f>
        <v>0</v>
      </c>
    </row>
    <row r="40" spans="1:8" outlineLevel="1" x14ac:dyDescent="0.35">
      <c r="A40" s="163" t="str">
        <f ca="1">VLOOKUP(3,INDIRECT($C$65),2,0)</f>
        <v>Vorspreizen, Handstand mit 1/1 Drehung, abrollen</v>
      </c>
      <c r="B40" s="164"/>
      <c r="C40" s="164"/>
      <c r="D40" s="164"/>
      <c r="E40" s="87">
        <f ca="1">VLOOKUP(3,INDIRECT($C$65),3,0)</f>
        <v>3</v>
      </c>
      <c r="F40" s="43">
        <v>0.5</v>
      </c>
      <c r="G40" s="81" t="s">
        <v>146</v>
      </c>
      <c r="H40" s="84">
        <f t="shared" ca="1" si="1"/>
        <v>2.5</v>
      </c>
    </row>
    <row r="41" spans="1:8" outlineLevel="1" x14ac:dyDescent="0.35">
      <c r="A41" s="163" t="str">
        <f ca="1">VLOOKUP(4,INDIRECT($C$65),2,0)</f>
        <v>--&gt; Aufstehen mit gestreckten Beinen</v>
      </c>
      <c r="B41" s="164"/>
      <c r="C41" s="164"/>
      <c r="D41" s="164"/>
      <c r="E41" s="87">
        <f ca="1">VLOOKUP(4,INDIRECT($C$65),3,0)</f>
        <v>3</v>
      </c>
      <c r="F41" s="43">
        <v>1.5</v>
      </c>
      <c r="G41" s="81" t="s">
        <v>146</v>
      </c>
      <c r="H41" s="84">
        <f t="shared" ca="1" si="1"/>
        <v>1.5</v>
      </c>
    </row>
    <row r="42" spans="1:8" outlineLevel="1" x14ac:dyDescent="0.35">
      <c r="A42" s="163" t="str">
        <f ca="1">VLOOKUP(5,INDIRECT($C$65),2,0)</f>
        <v>Vorspreizen, Bestellschritt, Strecksprung 3/2 Drehung</v>
      </c>
      <c r="B42" s="164"/>
      <c r="C42" s="164"/>
      <c r="D42" s="164"/>
      <c r="E42" s="87">
        <f ca="1">VLOOKUP(5,INDIRECT($C$65),3,0)</f>
        <v>3</v>
      </c>
      <c r="F42" s="43">
        <v>1.5</v>
      </c>
      <c r="G42" s="81" t="s">
        <v>146</v>
      </c>
      <c r="H42" s="84">
        <f t="shared" ca="1" si="1"/>
        <v>1.5</v>
      </c>
    </row>
    <row r="43" spans="1:8" outlineLevel="1" x14ac:dyDescent="0.35">
      <c r="A43" s="163" t="str">
        <f ca="1">VLOOKUP(6,INDIRECT($C$65),2,0)</f>
        <v>Salto rückwärts gehockt</v>
      </c>
      <c r="B43" s="164"/>
      <c r="C43" s="164"/>
      <c r="D43" s="164"/>
      <c r="E43" s="87">
        <f ca="1">VLOOKUP(6,INDIRECT($C$65),3,0)</f>
        <v>3</v>
      </c>
      <c r="F43" s="43">
        <v>1</v>
      </c>
      <c r="G43" s="81" t="s">
        <v>146</v>
      </c>
      <c r="H43" s="84">
        <f t="shared" ca="1" si="1"/>
        <v>2</v>
      </c>
    </row>
    <row r="44" spans="1:8" outlineLevel="1" x14ac:dyDescent="0.35">
      <c r="A44" s="163" t="str">
        <f ca="1">VLOOKUP(7,INDIRECT($C$65),2,0)</f>
        <v>Handstützüberschlag</v>
      </c>
      <c r="B44" s="164"/>
      <c r="C44" s="164"/>
      <c r="D44" s="164"/>
      <c r="E44" s="87">
        <f ca="1">VLOOKUP(7,INDIRECT($C$65),3,0)</f>
        <v>3</v>
      </c>
      <c r="F44" s="43">
        <v>0</v>
      </c>
      <c r="G44" s="81" t="s">
        <v>146</v>
      </c>
      <c r="H44" s="84">
        <f t="shared" ca="1" si="1"/>
        <v>3</v>
      </c>
    </row>
    <row r="45" spans="1:8" outlineLevel="1" x14ac:dyDescent="0.35">
      <c r="A45" s="163" t="str">
        <f ca="1">VLOOKUP(8,INDIRECT($C$65),2,0)</f>
        <v>--&gt; Ansprung Schrittstellung, Handstand mit zwei Hüpfern</v>
      </c>
      <c r="B45" s="164"/>
      <c r="C45" s="164"/>
      <c r="D45" s="164"/>
      <c r="E45" s="87">
        <f ca="1">VLOOKUP(8,INDIRECT($C$65),3,0)</f>
        <v>3</v>
      </c>
      <c r="F45" s="43">
        <v>0</v>
      </c>
      <c r="G45" s="81" t="s">
        <v>146</v>
      </c>
      <c r="H45" s="84">
        <f t="shared" ca="1" si="1"/>
        <v>3</v>
      </c>
    </row>
    <row r="46" spans="1:8" outlineLevel="1" x14ac:dyDescent="0.35">
      <c r="A46" s="163" t="str">
        <f ca="1">VLOOKUP(9,INDIRECT($C$65),2,0)</f>
        <v>Abrollen --&gt; Strecksprung 1/2 Drehung</v>
      </c>
      <c r="B46" s="164"/>
      <c r="C46" s="164"/>
      <c r="D46" s="164"/>
      <c r="E46" s="87">
        <f ca="1">VLOOKUP(9,INDIRECT($C$65),3,0)</f>
        <v>1.5</v>
      </c>
      <c r="F46" s="43">
        <v>0</v>
      </c>
      <c r="G46" s="81" t="str">
        <f>IF(H2&gt;16,"","Wert - Abzug")</f>
        <v>Wert - Abzug</v>
      </c>
      <c r="H46" s="84">
        <f t="shared" ca="1" si="1"/>
        <v>1.5</v>
      </c>
    </row>
    <row r="47" spans="1:8" outlineLevel="1" x14ac:dyDescent="0.35">
      <c r="A47" s="163" t="str">
        <f ca="1">VLOOKUP(10,INDIRECT($C$65),2,0)</f>
        <v>Salto vorwärts gebückt mit Anlauf</v>
      </c>
      <c r="B47" s="164"/>
      <c r="C47" s="164"/>
      <c r="D47" s="164"/>
      <c r="E47" s="87">
        <f ca="1">VLOOKUP(10,INDIRECT($C$65),3,0)</f>
        <v>3</v>
      </c>
      <c r="F47" s="43">
        <v>0.5</v>
      </c>
      <c r="G47" s="81" t="str">
        <f>IF(H2&gt;16,"","Wert - Abzug")</f>
        <v>Wert - Abzug</v>
      </c>
      <c r="H47" s="84">
        <f t="shared" ca="1" si="1"/>
        <v>2.5</v>
      </c>
    </row>
    <row r="48" spans="1:8" outlineLevel="1" x14ac:dyDescent="0.35">
      <c r="A48" s="163" t="str">
        <f ca="1">VLOOKUP(11,INDIRECT($C$65),2,0)</f>
        <v xml:space="preserve"> </v>
      </c>
      <c r="B48" s="164"/>
      <c r="C48" s="164"/>
      <c r="D48" s="164"/>
      <c r="E48" s="87" t="str">
        <f ca="1">VLOOKUP(11,INDIRECT($C$65),3,0)</f>
        <v xml:space="preserve"> </v>
      </c>
      <c r="F48" s="43"/>
      <c r="G48" s="81" t="str">
        <f>IF(H2&gt;13,"","Wert - Abzug")</f>
        <v/>
      </c>
      <c r="H48" s="84" t="str">
        <f t="shared" ca="1" si="1"/>
        <v/>
      </c>
    </row>
    <row r="49" spans="1:8" ht="15" outlineLevel="1" thickBot="1" x14ac:dyDescent="0.4">
      <c r="A49" s="184" t="str">
        <f ca="1">VLOOKUP(12,INDIRECT($C$65),2,0)</f>
        <v xml:space="preserve"> </v>
      </c>
      <c r="B49" s="185"/>
      <c r="C49" s="185"/>
      <c r="D49" s="185"/>
      <c r="E49" s="93" t="str">
        <f ca="1">VLOOKUP(12,INDIRECT($C$65),3,0)</f>
        <v xml:space="preserve"> </v>
      </c>
      <c r="F49" s="82"/>
      <c r="G49" s="83" t="str">
        <f>IF(OR(H2=9,H2=12,H2=13),"Wert - Abzug","")</f>
        <v/>
      </c>
      <c r="H49" s="84" t="str">
        <f t="shared" ca="1" si="1"/>
        <v/>
      </c>
    </row>
    <row r="50" spans="1:8" ht="15" thickBot="1" x14ac:dyDescent="0.4">
      <c r="A50" s="176" t="s">
        <v>98</v>
      </c>
      <c r="B50" s="177"/>
      <c r="C50" s="177"/>
      <c r="D50" s="177"/>
      <c r="E50" s="177"/>
      <c r="F50" s="177"/>
      <c r="G50" s="178"/>
      <c r="H50" s="44">
        <f ca="1">SUM(H38:H49)</f>
        <v>20.5</v>
      </c>
    </row>
    <row r="51" spans="1:8" ht="16" thickBot="1" x14ac:dyDescent="0.4">
      <c r="A51" s="169" t="s">
        <v>42</v>
      </c>
      <c r="B51" s="170"/>
      <c r="C51" s="170"/>
      <c r="D51" s="170"/>
      <c r="E51" s="170"/>
      <c r="F51" s="170"/>
      <c r="G51" s="170"/>
      <c r="H51" s="94">
        <f ca="1">SUM(H9,H18,H36,H50)</f>
        <v>167.70000000000002</v>
      </c>
    </row>
    <row r="52" spans="1:8" s="23" customFormat="1" x14ac:dyDescent="0.35">
      <c r="D52" s="50"/>
      <c r="E52" s="50"/>
      <c r="F52" s="50"/>
      <c r="G52" s="50"/>
    </row>
    <row r="53" spans="1:8" s="23" customFormat="1" hidden="1" x14ac:dyDescent="0.35">
      <c r="C53" s="24"/>
      <c r="D53" s="50"/>
      <c r="E53" s="50"/>
      <c r="F53" s="50"/>
      <c r="G53" s="50"/>
    </row>
    <row r="54" spans="1:8" s="23" customFormat="1" hidden="1" x14ac:dyDescent="0.35">
      <c r="B54" s="23" t="s">
        <v>249</v>
      </c>
      <c r="C54" s="23" t="str">
        <f>IF(H2&lt;13,"beide",F1)</f>
        <v>männlich</v>
      </c>
      <c r="D54" s="50"/>
      <c r="E54" s="50"/>
      <c r="F54" s="50"/>
      <c r="G54" s="50"/>
    </row>
    <row r="55" spans="1:8" s="23" customFormat="1" hidden="1" x14ac:dyDescent="0.35">
      <c r="B55" s="23" t="s">
        <v>3</v>
      </c>
      <c r="C55" s="23" t="str">
        <f>IF(OR(H2=8,H2=11),H2,IF(H2&lt;11,"9_10",IF(H2&lt;14,"12_13",IF(H2&lt;16,"14_15",IF(H2&lt;18,"16_17",18)))))</f>
        <v>14_15</v>
      </c>
      <c r="D55" s="50"/>
      <c r="E55" s="50"/>
      <c r="F55" s="50"/>
      <c r="G55" s="50"/>
    </row>
    <row r="56" spans="1:8" s="23" customFormat="1" hidden="1" x14ac:dyDescent="0.35">
      <c r="D56" s="50"/>
      <c r="E56" s="50"/>
      <c r="F56" s="50"/>
      <c r="G56" s="50"/>
    </row>
    <row r="57" spans="1:8" s="23" customFormat="1" hidden="1" x14ac:dyDescent="0.35">
      <c r="B57" s="23" t="s">
        <v>251</v>
      </c>
      <c r="C57" s="23" t="str">
        <f>"TBN_"&amp;C54&amp;"_"&amp;C55</f>
        <v>TBN_männlich_14_15</v>
      </c>
      <c r="D57" s="50"/>
      <c r="E57" s="50"/>
      <c r="F57" s="50"/>
      <c r="G57" s="50"/>
    </row>
    <row r="58" spans="1:8" s="23" customFormat="1" hidden="1" x14ac:dyDescent="0.35">
      <c r="C58" s="23" t="str">
        <f>C57&amp;"[Beschreibung]"</f>
        <v>TBN_männlich_14_15[Beschreibung]</v>
      </c>
      <c r="D58" s="50"/>
      <c r="E58" s="50"/>
      <c r="F58" s="50"/>
      <c r="G58" s="50"/>
    </row>
    <row r="59" spans="1:8" s="23" customFormat="1" hidden="1" x14ac:dyDescent="0.35">
      <c r="D59" s="50"/>
      <c r="E59" s="50"/>
      <c r="F59" s="50"/>
      <c r="G59" s="50"/>
    </row>
    <row r="60" spans="1:8" s="23" customFormat="1" hidden="1" x14ac:dyDescent="0.35">
      <c r="B60" s="23" t="s">
        <v>147</v>
      </c>
      <c r="C60" s="23" t="str">
        <f>"TN_"&amp;C54&amp;"_"&amp;C55</f>
        <v>TN_männlich_14_15</v>
      </c>
      <c r="D60" s="50"/>
      <c r="E60" s="50"/>
      <c r="F60" s="50"/>
      <c r="G60" s="50"/>
    </row>
    <row r="61" spans="1:8" s="23" customFormat="1" hidden="1" x14ac:dyDescent="0.35">
      <c r="C61" s="23" t="str">
        <f>C60&amp;"[Beschreibung]"</f>
        <v>TN_männlich_14_15[Beschreibung]</v>
      </c>
      <c r="D61" s="50"/>
      <c r="E61" s="50"/>
      <c r="F61" s="50"/>
      <c r="G61" s="50"/>
    </row>
    <row r="62" spans="1:8" s="23" customFormat="1" hidden="1" x14ac:dyDescent="0.35">
      <c r="D62" s="50"/>
      <c r="E62" s="50"/>
      <c r="F62" s="50"/>
      <c r="G62" s="50"/>
    </row>
    <row r="63" spans="1:8" s="23" customFormat="1" hidden="1" x14ac:dyDescent="0.35">
      <c r="B63" s="23" t="s">
        <v>17</v>
      </c>
      <c r="C63" s="23" t="str">
        <f>"TV_"&amp;F1&amp;"_"&amp;C55</f>
        <v>TV_männlich_14_15</v>
      </c>
      <c r="D63" s="50"/>
      <c r="E63" s="50"/>
      <c r="F63" s="50"/>
      <c r="G63" s="50"/>
    </row>
    <row r="64" spans="1:8" s="23" customFormat="1" hidden="1" x14ac:dyDescent="0.35">
      <c r="D64" s="50"/>
      <c r="E64" s="50"/>
      <c r="F64" s="50"/>
      <c r="G64" s="50"/>
    </row>
    <row r="65" spans="2:7" s="23" customFormat="1" hidden="1" x14ac:dyDescent="0.35">
      <c r="B65" s="23" t="s">
        <v>252</v>
      </c>
      <c r="C65" s="23" t="str">
        <f>"BKÜ"&amp;IF(H2=9,"_9",IF(H2&lt;12,"_10_11",IF(H2&lt;14,"_12_13",IF(H2&lt;17,"_14_16","_17"))))</f>
        <v>BKÜ_14_16</v>
      </c>
      <c r="D65" s="50"/>
      <c r="E65" s="50"/>
      <c r="F65" s="50"/>
      <c r="G65" s="50"/>
    </row>
    <row r="66" spans="2:7" s="23" customFormat="1" hidden="1" x14ac:dyDescent="0.35">
      <c r="D66" s="50"/>
      <c r="E66" s="50"/>
      <c r="F66" s="50"/>
      <c r="G66" s="50"/>
    </row>
    <row r="67" spans="2:7" s="23" customFormat="1" hidden="1" x14ac:dyDescent="0.35">
      <c r="B67" s="23" t="s">
        <v>250</v>
      </c>
      <c r="C67" s="23" t="str">
        <f>IF(H2&lt;17,"beide",F1)</f>
        <v>beide</v>
      </c>
      <c r="D67" s="50"/>
      <c r="E67" s="50"/>
      <c r="F67" s="50"/>
      <c r="G67" s="50"/>
    </row>
    <row r="68" spans="2:7" s="23" customFormat="1" hidden="1" x14ac:dyDescent="0.35">
      <c r="B68" s="23" t="s">
        <v>17</v>
      </c>
      <c r="C68" s="23" t="str">
        <f>"TV_"&amp;C67&amp;"_"&amp;C55</f>
        <v>TV_beide_14_15</v>
      </c>
      <c r="D68" s="50"/>
      <c r="E68" s="50"/>
      <c r="F68" s="50"/>
      <c r="G68" s="50"/>
    </row>
    <row r="69" spans="2:7" x14ac:dyDescent="0.35"/>
    <row r="70" spans="2:7" x14ac:dyDescent="0.35"/>
  </sheetData>
  <sheetProtection algorithmName="SHA-512" hashValue="W93r69fqt+Y5BLN/jfhgXsfvoM/3lkdDOWMxTcynK3zuLpeZ/wqbLre6gc8Lda26EfNkVve7OptNxWAw4jl2ng==" saltValue="m7xFRwWol7AysITEdrQhGw==" spinCount="100000" sheet="1" objects="1" scenarios="1" selectLockedCells="1"/>
  <protectedRanges>
    <protectedRange sqref="H1:H2 F1:F2 B1:B2" name="Athletendaten"/>
    <protectedRange sqref="F38:F49 C20:F35 D69:E440 C69:C441 F4:F8 C38:E68 C11:E16 F11:F17" name="Werte und Varianten"/>
    <protectedRange algorithmName="SHA-512" hashValue="EtPG7jm6pk6JVG08ToKZL4Sto4PS6TOUsygvFmj6DTfcGnX6DwKdfjTEg/2X1Hwnu/CwfNhBUSnXKs/oLqcupQ==" saltValue="sPse4fdTsI5OFESYvRIl8Q==" spinCount="100000" sqref="H4:H8 H38:H49 H20:H35 H11:H17" name="Punktzahlen"/>
  </protectedRanges>
  <mergeCells count="44">
    <mergeCell ref="A12:E12"/>
    <mergeCell ref="B1:E1"/>
    <mergeCell ref="B2:F2"/>
    <mergeCell ref="A3:E3"/>
    <mergeCell ref="A4:E4"/>
    <mergeCell ref="A5:E5"/>
    <mergeCell ref="A6:E6"/>
    <mergeCell ref="A7:E7"/>
    <mergeCell ref="A8:E8"/>
    <mergeCell ref="A9:G9"/>
    <mergeCell ref="A10:E10"/>
    <mergeCell ref="A11:E11"/>
    <mergeCell ref="A31:B31"/>
    <mergeCell ref="A13:E13"/>
    <mergeCell ref="A14:E14"/>
    <mergeCell ref="A15:E15"/>
    <mergeCell ref="A16:E16"/>
    <mergeCell ref="A18:G18"/>
    <mergeCell ref="A19:C19"/>
    <mergeCell ref="A20:B20"/>
    <mergeCell ref="A21:B21"/>
    <mergeCell ref="A22:B22"/>
    <mergeCell ref="A23:B23"/>
    <mergeCell ref="A30:B30"/>
    <mergeCell ref="A43:D43"/>
    <mergeCell ref="A32:B32"/>
    <mergeCell ref="A33:B33"/>
    <mergeCell ref="A34:B34"/>
    <mergeCell ref="A35:B35"/>
    <mergeCell ref="A36:G36"/>
    <mergeCell ref="A37:D37"/>
    <mergeCell ref="A38:D38"/>
    <mergeCell ref="A39:D39"/>
    <mergeCell ref="A40:D40"/>
    <mergeCell ref="A41:D41"/>
    <mergeCell ref="A42:D42"/>
    <mergeCell ref="A50:G50"/>
    <mergeCell ref="A51:G51"/>
    <mergeCell ref="A44:D44"/>
    <mergeCell ref="A45:D45"/>
    <mergeCell ref="A46:D46"/>
    <mergeCell ref="A47:D47"/>
    <mergeCell ref="A48:D48"/>
    <mergeCell ref="A49:D49"/>
  </mergeCells>
  <conditionalFormatting sqref="F46:F49">
    <cfRule type="expression" dxfId="266" priority="3">
      <formula>$A46=" "</formula>
    </cfRule>
  </conditionalFormatting>
  <conditionalFormatting sqref="B24:B29 C21:E29">
    <cfRule type="expression" dxfId="265" priority="2">
      <formula>$A21="entfällt"</formula>
    </cfRule>
    <cfRule type="expression" dxfId="264" priority="4">
      <formula>$H$2&gt;14</formula>
    </cfRule>
  </conditionalFormatting>
  <conditionalFormatting sqref="B24:B29">
    <cfRule type="expression" dxfId="263" priority="1">
      <formula>AND($A24="TN",$C24&lt;&gt;"")</formula>
    </cfRule>
  </conditionalFormatting>
  <dataValidations count="19">
    <dataValidation type="decimal" errorStyle="warning" allowBlank="1" showInputMessage="1" showErrorMessage="1" error="Eingegebener Abzug überschreitet maximal zulässigen Abzug, Wert bitte überprüfen!" sqref="F21:F35" xr:uid="{47F576EC-9135-4A86-B3A7-022F71E723A8}">
      <formula1>0</formula1>
      <formula2>$E21</formula2>
    </dataValidation>
    <dataValidation type="list" allowBlank="1" showInputMessage="1" showErrorMessage="1" sqref="C20" xr:uid="{7917F378-D44B-4D0D-962F-461E7B1620FD}">
      <formula1>"Lichtschranke,Druckmessplatte"</formula1>
    </dataValidation>
    <dataValidation type="whole" allowBlank="1" showInputMessage="1" showErrorMessage="1" errorTitle="Falsche Eingabe" error="Bitte Wert prüfen" sqref="D17" xr:uid="{3D4C7E0B-5633-42A4-BCFC-B06D39DBF274}">
      <formula1>1</formula1>
      <formula2>13</formula2>
    </dataValidation>
    <dataValidation type="list" allowBlank="1" showInputMessage="1" sqref="C24:C29" xr:uid="{5ED07409-2F97-4371-82A3-9FB3ABBD6996}">
      <formula1>INDIRECT($C$61)</formula1>
    </dataValidation>
    <dataValidation type="list" allowBlank="1" showInputMessage="1" sqref="C21:C23" xr:uid="{7B637959-5FD2-431E-B1A0-ADADEA2BAA11}">
      <formula1>INDIRECT($C$58)</formula1>
    </dataValidation>
    <dataValidation allowBlank="1" showInputMessage="1" showErrorMessage="1" prompt="Anzahl der Wiederholungen" sqref="F11" xr:uid="{7E4A2C77-F83D-481A-933E-CFC836DEE5E5}"/>
    <dataValidation type="whole" allowBlank="1" showInputMessage="1" showErrorMessage="1" prompt="Abstand von der Oberkante des Turnhockers zur schlechtesten Fingerspitze in cm" sqref="F6" xr:uid="{09EC0671-39FB-430D-84D2-7E7AA97BACF7}">
      <formula1>-50</formula1>
      <formula2>50</formula2>
    </dataValidation>
    <dataValidation type="list" allowBlank="1" showInputMessage="1" showErrorMessage="1" prompt="Punktzahl nach Vergleich mit Bild" sqref="F5" xr:uid="{A0E7F7B6-D7CD-4E34-A2C0-CFFB94961874}">
      <formula1>"0,2,6,10"</formula1>
    </dataValidation>
    <dataValidation type="whole" allowBlank="1" showErrorMessage="1" errorTitle="Falsche Eingabe" error="Bitte Wert prüfen" prompt="Höchste erreichte Stufe" sqref="F17" xr:uid="{994D7DB7-5868-4B75-B72F-4993AA4068E9}">
      <formula1>1</formula1>
      <formula2>11</formula2>
    </dataValidation>
    <dataValidation allowBlank="1" sqref="D20:E20" xr:uid="{205C7160-1025-4530-A696-C2FD745FE3EC}"/>
    <dataValidation type="decimal" errorStyle="warning" allowBlank="1" showInputMessage="1" showErrorMessage="1" error="Abzug höher als Wert des Elements, bitte überprüfen!" prompt="Abzug" sqref="F38:F49" xr:uid="{919FB468-1A8E-44A4-BEA3-496373D554CD}">
      <formula1>0</formula1>
      <formula2>$E38</formula2>
    </dataValidation>
    <dataValidation type="whole" allowBlank="1" showInputMessage="1" showErrorMessage="1" prompt="AKs 9 - 13: Übersprungene Kästchen_x000a__x000a_AKs 14 - 21: Anzahl Saltos" sqref="F15" xr:uid="{986088ED-AF03-4365-9277-90307B6A59A0}">
      <formula1>0</formula1>
      <formula2>50</formula2>
    </dataValidation>
    <dataValidation type="list" allowBlank="1" showInputMessage="1" showErrorMessage="1" sqref="F1" xr:uid="{12FEB0C5-5919-4CDC-89BF-8E03079AAB04}">
      <formula1>"männlich,weiblich"</formula1>
    </dataValidation>
    <dataValidation type="whole" allowBlank="1" showInputMessage="1" showErrorMessage="1" sqref="H4:H8" xr:uid="{E5DD0178-7B14-4A95-ABE3-A3EEEC98F247}">
      <formula1>0</formula1>
      <formula2>10</formula2>
    </dataValidation>
    <dataValidation type="whole" allowBlank="1" showInputMessage="1" showErrorMessage="1" prompt="Haltezeit in Sekunden" sqref="F13" xr:uid="{775F26CC-527F-45F0-9891-320483A20124}">
      <formula1>0</formula1>
      <formula2>200</formula2>
    </dataValidation>
    <dataValidation type="whole" allowBlank="1" showInputMessage="1" showErrorMessage="1" prompt="Haltezeit in Sekunden" sqref="F16" xr:uid="{1B5F9928-045A-45D1-A80B-1663FC37F420}">
      <formula1>0</formula1>
      <formula2>100</formula2>
    </dataValidation>
    <dataValidation type="whole" allowBlank="1" showInputMessage="1" showErrorMessage="1" prompt="Anzahl der Wiederholungen" sqref="F14 F12" xr:uid="{0F0C5CFE-2D6C-40A2-B475-9D9FC95620F9}">
      <formula1>0</formula1>
      <formula2>50</formula2>
    </dataValidation>
    <dataValidation type="list" operator="equal" allowBlank="1" showInputMessage="1" showErrorMessage="1" prompt="Punktzahl nach Vergleich mit Bild" sqref="F4" xr:uid="{D321B100-D146-4C0C-AC6C-EBD24625DC68}">
      <formula1>"0,2,6,10"</formula1>
    </dataValidation>
    <dataValidation type="decimal" errorStyle="warning" showDropDown="1" showErrorMessage="1" error="Wert unrealistisch hoch, bitte Eingabe überprüfen" promptTitle="Vorsicht" sqref="F20" xr:uid="{549D971B-8551-43C4-A454-A88D069E0596}">
      <formula1>0</formula1>
      <formula2>30</formula2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Bitte Werte aus Dropdown auswählen" prompt="Abstand vom Boden laut Schablone" xr:uid="{9F9B9D2C-58C2-4C6F-8E26-E96BAC6759E7}">
          <x14:formula1>
            <xm:f>Punktetabellen!$A$3:$A$6</xm:f>
          </x14:formula1>
          <xm:sqref>F7:F8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C7DC0-28DF-4F93-8BDC-A2612EC2FC0B}">
  <sheetPr codeName="Tabelle29">
    <tabColor indexed="47"/>
    <pageSetUpPr fitToPage="1"/>
  </sheetPr>
  <dimension ref="A1:J70"/>
  <sheetViews>
    <sheetView zoomScale="85" zoomScaleNormal="85" workbookViewId="0">
      <pane ySplit="2" topLeftCell="A31" activePane="bottomLeft" state="frozen"/>
      <selection sqref="A1:H1"/>
      <selection pane="bottomLeft" activeCell="D19" sqref="D19"/>
    </sheetView>
  </sheetViews>
  <sheetFormatPr baseColWidth="10" defaultColWidth="0" defaultRowHeight="14.5" zeroHeight="1" outlineLevelRow="1" x14ac:dyDescent="0.35"/>
  <cols>
    <col min="1" max="1" width="11.453125" customWidth="1"/>
    <col min="2" max="2" width="12.1796875" customWidth="1"/>
    <col min="3" max="3" width="44.81640625" bestFit="1" customWidth="1"/>
    <col min="4" max="5" width="11.453125" style="155" customWidth="1"/>
    <col min="6" max="6" width="16.1796875" style="155" bestFit="1" customWidth="1"/>
    <col min="7" max="7" width="13.81640625" style="155" customWidth="1"/>
    <col min="8" max="8" width="11.453125" customWidth="1"/>
    <col min="9" max="9" width="6.1796875" style="23" hidden="1" customWidth="1"/>
    <col min="10" max="10" width="0" hidden="1" customWidth="1"/>
    <col min="11" max="16384" width="11.453125" hidden="1"/>
  </cols>
  <sheetData>
    <row r="1" spans="1:8" ht="15.5" x14ac:dyDescent="0.35">
      <c r="A1" s="16" t="s">
        <v>1</v>
      </c>
      <c r="B1" s="186" t="s">
        <v>397</v>
      </c>
      <c r="C1" s="187"/>
      <c r="D1" s="187"/>
      <c r="E1" s="188"/>
      <c r="F1" s="51" t="s">
        <v>97</v>
      </c>
      <c r="G1" s="61" t="s">
        <v>24</v>
      </c>
      <c r="H1" s="63">
        <v>2006</v>
      </c>
    </row>
    <row r="2" spans="1:8" ht="16" thickBot="1" x14ac:dyDescent="0.4">
      <c r="A2" s="17" t="s">
        <v>4</v>
      </c>
      <c r="B2" s="198" t="s">
        <v>425</v>
      </c>
      <c r="C2" s="199"/>
      <c r="D2" s="199"/>
      <c r="E2" s="199"/>
      <c r="F2" s="200"/>
      <c r="G2" s="62" t="s">
        <v>3</v>
      </c>
      <c r="H2" s="64">
        <f>2022-H1</f>
        <v>16</v>
      </c>
    </row>
    <row r="3" spans="1:8" ht="15" outlineLevel="1" thickBot="1" x14ac:dyDescent="0.4">
      <c r="A3" s="189" t="s">
        <v>26</v>
      </c>
      <c r="B3" s="190"/>
      <c r="C3" s="190"/>
      <c r="D3" s="190"/>
      <c r="E3" s="191"/>
      <c r="F3" s="46" t="s">
        <v>27</v>
      </c>
      <c r="G3" s="47" t="s">
        <v>28</v>
      </c>
      <c r="H3" s="22" t="s">
        <v>234</v>
      </c>
    </row>
    <row r="4" spans="1:8" outlineLevel="1" x14ac:dyDescent="0.35">
      <c r="A4" s="192" t="s">
        <v>30</v>
      </c>
      <c r="B4" s="193"/>
      <c r="C4" s="193"/>
      <c r="D4" s="193"/>
      <c r="E4" s="194"/>
      <c r="F4" s="25">
        <v>10</v>
      </c>
      <c r="G4" s="55" t="s">
        <v>32</v>
      </c>
      <c r="H4" s="34">
        <f>F4</f>
        <v>10</v>
      </c>
    </row>
    <row r="5" spans="1:8" outlineLevel="1" x14ac:dyDescent="0.35">
      <c r="A5" s="195" t="s">
        <v>85</v>
      </c>
      <c r="B5" s="196"/>
      <c r="C5" s="196"/>
      <c r="D5" s="196"/>
      <c r="E5" s="197"/>
      <c r="F5" s="14">
        <v>6</v>
      </c>
      <c r="G5" s="56" t="s">
        <v>32</v>
      </c>
      <c r="H5" s="35">
        <f>F5</f>
        <v>6</v>
      </c>
    </row>
    <row r="6" spans="1:8" outlineLevel="1" x14ac:dyDescent="0.35">
      <c r="A6" s="195" t="s">
        <v>33</v>
      </c>
      <c r="B6" s="196"/>
      <c r="C6" s="196"/>
      <c r="D6" s="196"/>
      <c r="E6" s="197"/>
      <c r="F6" s="14">
        <v>20</v>
      </c>
      <c r="G6" s="56" t="s">
        <v>31</v>
      </c>
      <c r="H6" s="35">
        <f>IF(F6="",0,VLOOKUP(F6,Punktetabellen!A10:B15,2,1))</f>
        <v>10</v>
      </c>
    </row>
    <row r="7" spans="1:8" outlineLevel="1" x14ac:dyDescent="0.35">
      <c r="A7" s="195" t="s">
        <v>34</v>
      </c>
      <c r="B7" s="196"/>
      <c r="C7" s="196"/>
      <c r="D7" s="196"/>
      <c r="E7" s="197"/>
      <c r="F7" s="14">
        <v>0</v>
      </c>
      <c r="G7" s="56" t="s">
        <v>31</v>
      </c>
      <c r="H7" s="35">
        <f>IF(F7="",0,VLOOKUP(F7,Punktetabellen!A3:B6,2,0))</f>
        <v>5</v>
      </c>
    </row>
    <row r="8" spans="1:8" ht="15" outlineLevel="1" thickBot="1" x14ac:dyDescent="0.4">
      <c r="A8" s="204" t="s">
        <v>35</v>
      </c>
      <c r="B8" s="205"/>
      <c r="C8" s="205"/>
      <c r="D8" s="205"/>
      <c r="E8" s="206"/>
      <c r="F8" s="41">
        <v>0</v>
      </c>
      <c r="G8" s="57" t="s">
        <v>31</v>
      </c>
      <c r="H8" s="36">
        <f>IF(F8="",0,VLOOKUP(F8,Punktetabellen!A3:B6,2,0))</f>
        <v>5</v>
      </c>
    </row>
    <row r="9" spans="1:8" ht="15" thickBot="1" x14ac:dyDescent="0.4">
      <c r="A9" s="210" t="s">
        <v>36</v>
      </c>
      <c r="B9" s="211"/>
      <c r="C9" s="211"/>
      <c r="D9" s="211"/>
      <c r="E9" s="211"/>
      <c r="F9" s="211"/>
      <c r="G9" s="211"/>
      <c r="H9" s="48">
        <f>SUM(H4:H8)</f>
        <v>36</v>
      </c>
    </row>
    <row r="10" spans="1:8" ht="15" outlineLevel="1" thickBot="1" x14ac:dyDescent="0.4">
      <c r="A10" s="189" t="s">
        <v>26</v>
      </c>
      <c r="B10" s="190"/>
      <c r="C10" s="190"/>
      <c r="D10" s="190"/>
      <c r="E10" s="191"/>
      <c r="F10" s="46" t="s">
        <v>27</v>
      </c>
      <c r="G10" s="47" t="s">
        <v>28</v>
      </c>
      <c r="H10" s="22" t="s">
        <v>234</v>
      </c>
    </row>
    <row r="11" spans="1:8" outlineLevel="1" x14ac:dyDescent="0.35">
      <c r="A11" s="207" t="s">
        <v>37</v>
      </c>
      <c r="B11" s="208"/>
      <c r="C11" s="208"/>
      <c r="D11" s="208"/>
      <c r="E11" s="209"/>
      <c r="F11" s="26">
        <v>1</v>
      </c>
      <c r="G11" s="58" t="s">
        <v>31</v>
      </c>
      <c r="H11" s="37">
        <f>IF($F11="",0,VLOOKUP($F11,Pkte_Klimmzug[],$H$2,1))</f>
        <v>0</v>
      </c>
    </row>
    <row r="12" spans="1:8" outlineLevel="1" x14ac:dyDescent="0.35">
      <c r="A12" s="201" t="s">
        <v>38</v>
      </c>
      <c r="B12" s="202"/>
      <c r="C12" s="202"/>
      <c r="D12" s="202"/>
      <c r="E12" s="203"/>
      <c r="F12" s="27">
        <v>0</v>
      </c>
      <c r="G12" s="59" t="s">
        <v>31</v>
      </c>
      <c r="H12" s="38">
        <f>IF($F12="",0,VLOOKUP($F12,Pkte_Beinheben[],$H$2,1))</f>
        <v>0</v>
      </c>
    </row>
    <row r="13" spans="1:8" outlineLevel="1" x14ac:dyDescent="0.35">
      <c r="A13" s="201" t="s">
        <v>88</v>
      </c>
      <c r="B13" s="202"/>
      <c r="C13" s="202"/>
      <c r="D13" s="202"/>
      <c r="E13" s="203"/>
      <c r="F13" s="27">
        <v>90</v>
      </c>
      <c r="G13" s="59" t="s">
        <v>31</v>
      </c>
      <c r="H13" s="38">
        <f>IF($F13="",0,VLOOKUP($F13,Pkte_Flieger[],$H$2,1))</f>
        <v>6</v>
      </c>
    </row>
    <row r="14" spans="1:8" outlineLevel="1" x14ac:dyDescent="0.35">
      <c r="A14" s="201" t="s">
        <v>39</v>
      </c>
      <c r="B14" s="202"/>
      <c r="C14" s="202"/>
      <c r="D14" s="202"/>
      <c r="E14" s="203"/>
      <c r="F14" s="27">
        <v>29</v>
      </c>
      <c r="G14" s="59" t="s">
        <v>31</v>
      </c>
      <c r="H14" s="38">
        <f>IF($F14="",0,VLOOKUP($F14,Pkte_Rollenverbindung[],$H$2,1))</f>
        <v>10</v>
      </c>
    </row>
    <row r="15" spans="1:8" outlineLevel="1" x14ac:dyDescent="0.35">
      <c r="A15" s="201" t="s">
        <v>89</v>
      </c>
      <c r="B15" s="202"/>
      <c r="C15" s="202"/>
      <c r="D15" s="202"/>
      <c r="E15" s="203"/>
      <c r="F15" s="27">
        <v>8</v>
      </c>
      <c r="G15" s="59" t="s">
        <v>31</v>
      </c>
      <c r="H15" s="38">
        <f>IF($F15="",0,VLOOKUP($F15,Pkte_Prellsprung[],$H$2,1))</f>
        <v>8</v>
      </c>
    </row>
    <row r="16" spans="1:8" outlineLevel="1" x14ac:dyDescent="0.35">
      <c r="A16" s="201" t="s">
        <v>90</v>
      </c>
      <c r="B16" s="202"/>
      <c r="C16" s="202"/>
      <c r="D16" s="202"/>
      <c r="E16" s="203"/>
      <c r="F16" s="28">
        <v>30</v>
      </c>
      <c r="G16" s="59" t="s">
        <v>31</v>
      </c>
      <c r="H16" s="38">
        <f>IF($F16="",0,VLOOKUP($F16,Pkte_Handstand[],$H$2,1))</f>
        <v>10</v>
      </c>
    </row>
    <row r="17" spans="1:8" ht="15" outlineLevel="1" thickBot="1" x14ac:dyDescent="0.4">
      <c r="A17" s="112" t="s">
        <v>93</v>
      </c>
      <c r="B17" s="113"/>
      <c r="C17" s="114" t="s">
        <v>269</v>
      </c>
      <c r="D17" s="29">
        <v>7</v>
      </c>
      <c r="E17" s="115" t="s">
        <v>270</v>
      </c>
      <c r="F17" s="29">
        <v>5</v>
      </c>
      <c r="G17" s="60" t="s">
        <v>31</v>
      </c>
      <c r="H17" s="39">
        <f>IF($F17="",0,IF($F$1="weiblich",VLOOKUP((100*$D17+$F17),Pkte_Shuttle_W[],$H$2,1),VLOOKUP((100*$D17+$F17),Pkte_Shuttle_M[],$H$2,1)))</f>
        <v>5</v>
      </c>
    </row>
    <row r="18" spans="1:8" ht="15" thickBot="1" x14ac:dyDescent="0.4">
      <c r="A18" s="161" t="s">
        <v>40</v>
      </c>
      <c r="B18" s="162"/>
      <c r="C18" s="162"/>
      <c r="D18" s="162"/>
      <c r="E18" s="162"/>
      <c r="F18" s="162"/>
      <c r="G18" s="162"/>
      <c r="H18" s="48">
        <f>SUM(H11:H17)</f>
        <v>39</v>
      </c>
    </row>
    <row r="19" spans="1:8" ht="15" outlineLevel="1" thickBot="1" x14ac:dyDescent="0.4">
      <c r="A19" s="159" t="s">
        <v>26</v>
      </c>
      <c r="B19" s="160"/>
      <c r="C19" s="160"/>
      <c r="D19" s="85" t="s">
        <v>235</v>
      </c>
      <c r="E19" s="85" t="s">
        <v>238</v>
      </c>
      <c r="F19" s="85" t="s">
        <v>236</v>
      </c>
      <c r="G19" s="86" t="s">
        <v>28</v>
      </c>
      <c r="H19" s="49" t="s">
        <v>234</v>
      </c>
    </row>
    <row r="20" spans="1:8" outlineLevel="1" x14ac:dyDescent="0.35">
      <c r="A20" s="167" t="s">
        <v>148</v>
      </c>
      <c r="B20" s="168"/>
      <c r="C20" s="116" t="s">
        <v>277</v>
      </c>
      <c r="D20" s="90">
        <f>IF(F1="männlich",VLOOKUP(H2,Standsprünge!A3:C15,3,0),VLOOKUP(H2,Standsprünge!A3:B15,2,0))+IF(C20="Druckmessplatte",0)</f>
        <v>15.9</v>
      </c>
      <c r="E20" s="90"/>
      <c r="F20" s="67">
        <v>16.355</v>
      </c>
      <c r="G20" s="91" t="s">
        <v>149</v>
      </c>
      <c r="H20" s="88">
        <f>IF(F20="",0,(F20-D20)*10)</f>
        <v>4.5500000000000007</v>
      </c>
    </row>
    <row r="21" spans="1:8" outlineLevel="1" x14ac:dyDescent="0.35">
      <c r="A21" s="165" t="str">
        <f>IF(H2&gt;15,"entfällt","TBN")</f>
        <v>entfällt</v>
      </c>
      <c r="B21" s="166"/>
      <c r="C21" s="77"/>
      <c r="D21" s="78" t="str">
        <f ca="1">IF(C21="","",VLOOKUP(C21,INDIRECT($C$57),2,0))</f>
        <v/>
      </c>
      <c r="E21" s="78" t="str">
        <f ca="1">IF(C21="","",VLOOKUP(C21,INDIRECT($C$57),3,0))</f>
        <v/>
      </c>
      <c r="F21" s="42"/>
      <c r="G21" s="71" t="str">
        <f>IF(H2&gt;16,"entfällt","Wert - Abzug")</f>
        <v>Wert - Abzug</v>
      </c>
      <c r="H21" s="66">
        <f>IF(A21="entfällt",0,IF(F21="",0,D21-F21))</f>
        <v>0</v>
      </c>
    </row>
    <row r="22" spans="1:8" outlineLevel="1" x14ac:dyDescent="0.35">
      <c r="A22" s="165" t="str">
        <f>IF(H2&gt;15,"entfällt","TBN")</f>
        <v>entfällt</v>
      </c>
      <c r="B22" s="166"/>
      <c r="C22" s="77"/>
      <c r="D22" s="78" t="str">
        <f ca="1">IF(C22="","",VLOOKUP(C22,INDIRECT($C$57),2,0))</f>
        <v/>
      </c>
      <c r="E22" s="78" t="str">
        <f ca="1">IF(C22="","",VLOOKUP(C22,INDIRECT($C$57),3,0))</f>
        <v/>
      </c>
      <c r="F22" s="42"/>
      <c r="G22" s="71" t="str">
        <f>IF(H2&gt;16,"entfällt","Wert - Abzug")</f>
        <v>Wert - Abzug</v>
      </c>
      <c r="H22" s="66">
        <f t="shared" ref="H22:H28" si="0">IF(A22="entfällt",0,IF(F22="",0,D22-F22))</f>
        <v>0</v>
      </c>
    </row>
    <row r="23" spans="1:8" outlineLevel="1" x14ac:dyDescent="0.35">
      <c r="A23" s="165" t="str">
        <f>IF(H2&gt;11,"entfällt","TBN")</f>
        <v>entfällt</v>
      </c>
      <c r="B23" s="166"/>
      <c r="C23" s="77"/>
      <c r="D23" s="78" t="str">
        <f ca="1">IF(C23="","",VLOOKUP(C23,INDIRECT($C$57),2,0))</f>
        <v/>
      </c>
      <c r="E23" s="78" t="str">
        <f ca="1">IF(C23="","",VLOOKUP(C23,INDIRECT($C$57),3,0))</f>
        <v/>
      </c>
      <c r="F23" s="42"/>
      <c r="G23" s="71" t="str">
        <f>IF(H2&gt;16,"entfällt","Wert - Abzug")</f>
        <v>Wert - Abzug</v>
      </c>
      <c r="H23" s="66">
        <f t="shared" si="0"/>
        <v>0</v>
      </c>
    </row>
    <row r="24" spans="1:8" outlineLevel="1" x14ac:dyDescent="0.35">
      <c r="A24" s="110" t="s">
        <v>147</v>
      </c>
      <c r="B24" s="111"/>
      <c r="C24" s="77" t="s">
        <v>62</v>
      </c>
      <c r="D24" s="78">
        <v>15</v>
      </c>
      <c r="E24" s="78">
        <v>6</v>
      </c>
      <c r="F24" s="42">
        <v>4</v>
      </c>
      <c r="G24" s="71" t="s">
        <v>146</v>
      </c>
      <c r="H24" s="66">
        <f t="shared" si="0"/>
        <v>11</v>
      </c>
    </row>
    <row r="25" spans="1:8" outlineLevel="1" x14ac:dyDescent="0.35">
      <c r="A25" s="110" t="s">
        <v>147</v>
      </c>
      <c r="B25" s="111"/>
      <c r="C25" s="77" t="s">
        <v>216</v>
      </c>
      <c r="D25" s="78">
        <v>13</v>
      </c>
      <c r="E25" s="78">
        <v>6</v>
      </c>
      <c r="F25" s="42">
        <v>4</v>
      </c>
      <c r="G25" s="71" t="s">
        <v>146</v>
      </c>
      <c r="H25" s="66">
        <f t="shared" si="0"/>
        <v>9</v>
      </c>
    </row>
    <row r="26" spans="1:8" outlineLevel="1" x14ac:dyDescent="0.35">
      <c r="A26" s="110" t="s">
        <v>147</v>
      </c>
      <c r="B26" s="111"/>
      <c r="C26" s="77" t="s">
        <v>60</v>
      </c>
      <c r="D26" s="78">
        <v>14</v>
      </c>
      <c r="E26" s="78">
        <v>6</v>
      </c>
      <c r="F26" s="42">
        <v>6</v>
      </c>
      <c r="G26" s="71" t="s">
        <v>146</v>
      </c>
      <c r="H26" s="66">
        <f t="shared" si="0"/>
        <v>8</v>
      </c>
    </row>
    <row r="27" spans="1:8" outlineLevel="1" x14ac:dyDescent="0.35">
      <c r="A27" s="110" t="str">
        <f>IF(H2&gt;11,"TN","entfällt")</f>
        <v>TN</v>
      </c>
      <c r="B27" s="111"/>
      <c r="C27" s="77" t="s">
        <v>217</v>
      </c>
      <c r="D27" s="78">
        <v>12</v>
      </c>
      <c r="E27" s="78">
        <v>6</v>
      </c>
      <c r="F27" s="42">
        <v>6</v>
      </c>
      <c r="G27" s="71" t="str">
        <f>IF(H2&gt;12,"Wert - Abzug","entfällt")</f>
        <v>Wert - Abzug</v>
      </c>
      <c r="H27" s="66">
        <f t="shared" si="0"/>
        <v>6</v>
      </c>
    </row>
    <row r="28" spans="1:8" outlineLevel="1" x14ac:dyDescent="0.35">
      <c r="A28" s="110" t="str">
        <f>IF(H2&gt;15,"TN","entfällt")</f>
        <v>TN</v>
      </c>
      <c r="B28" s="111"/>
      <c r="C28" s="77"/>
      <c r="D28" s="78"/>
      <c r="E28" s="78"/>
      <c r="F28" s="42"/>
      <c r="G28" s="71" t="str">
        <f>IF(H2&gt;16,"Wert - Abzug","entfällt")</f>
        <v>entfällt</v>
      </c>
      <c r="H28" s="66">
        <f t="shared" si="0"/>
        <v>0</v>
      </c>
    </row>
    <row r="29" spans="1:8" outlineLevel="1" x14ac:dyDescent="0.35">
      <c r="A29" s="110" t="str">
        <f>IF(H2&gt;15,"TN","entfällt")</f>
        <v>TN</v>
      </c>
      <c r="B29" s="111"/>
      <c r="C29" s="77"/>
      <c r="D29" s="78"/>
      <c r="E29" s="78"/>
      <c r="F29" s="42"/>
      <c r="G29" s="71" t="str">
        <f>IF(H2&gt;16,"Wert - Abzug","entfällt")</f>
        <v>entfällt</v>
      </c>
      <c r="H29" s="66">
        <f>IF(A29="entfällt",0,IF(F29="",0,D29-F29))</f>
        <v>0</v>
      </c>
    </row>
    <row r="30" spans="1:8" outlineLevel="1" x14ac:dyDescent="0.35">
      <c r="A30" s="165" t="str">
        <f>IF($H$2&gt;10,"Verbindung Sprung 1","entfällt")</f>
        <v>Verbindung Sprung 1</v>
      </c>
      <c r="B30" s="166"/>
      <c r="C30" s="40" t="s">
        <v>62</v>
      </c>
      <c r="D30" s="40">
        <v>15</v>
      </c>
      <c r="E30" s="40">
        <v>3</v>
      </c>
      <c r="F30" s="42">
        <v>15</v>
      </c>
      <c r="G30" s="71" t="str">
        <f>IF(H2&gt;12,"Wert - Abzug","entfällt")</f>
        <v>Wert - Abzug</v>
      </c>
      <c r="H30" s="66"/>
    </row>
    <row r="31" spans="1:8" outlineLevel="1" x14ac:dyDescent="0.35">
      <c r="A31" s="165" t="str">
        <f>IF($H$2&gt;10,"Verbindung Sprung 2","entfällt")</f>
        <v>Verbindung Sprung 2</v>
      </c>
      <c r="B31" s="166"/>
      <c r="C31" s="40" t="s">
        <v>246</v>
      </c>
      <c r="D31" s="40">
        <v>6</v>
      </c>
      <c r="E31" s="40">
        <v>3</v>
      </c>
      <c r="F31" s="42">
        <v>2</v>
      </c>
      <c r="G31" s="71" t="str">
        <f>IF(H2&gt;12,"Wert - Abzug","entfällt")</f>
        <v>Wert - Abzug</v>
      </c>
      <c r="H31" s="66"/>
    </row>
    <row r="32" spans="1:8" outlineLevel="1" x14ac:dyDescent="0.35">
      <c r="A32" s="165" t="str">
        <f>IF($H$2&gt;10,"Verbindung Sprung 3","entfällt")</f>
        <v>Verbindung Sprung 3</v>
      </c>
      <c r="B32" s="166"/>
      <c r="C32" s="40" t="s">
        <v>58</v>
      </c>
      <c r="D32" s="40">
        <v>13</v>
      </c>
      <c r="E32" s="40">
        <v>3</v>
      </c>
      <c r="F32" s="42">
        <v>2</v>
      </c>
      <c r="G32" s="71" t="str">
        <f>IF(H2&gt;12,"Wert - Abzug","entfällt")</f>
        <v>Wert - Abzug</v>
      </c>
      <c r="H32" s="66"/>
    </row>
    <row r="33" spans="1:8" outlineLevel="1" x14ac:dyDescent="0.35">
      <c r="A33" s="165" t="str">
        <f>IF($H$2&gt;10,"Verbindung Sprung 4","entfällt")</f>
        <v>Verbindung Sprung 4</v>
      </c>
      <c r="B33" s="166"/>
      <c r="C33" s="40" t="s">
        <v>49</v>
      </c>
      <c r="D33" s="40">
        <v>6</v>
      </c>
      <c r="E33" s="40">
        <v>3</v>
      </c>
      <c r="F33" s="42">
        <v>2</v>
      </c>
      <c r="G33" s="71" t="str">
        <f>IF(H2&gt;12,"Wert - Abzug","entfällt")</f>
        <v>Wert - Abzug</v>
      </c>
      <c r="H33" s="66"/>
    </row>
    <row r="34" spans="1:8" outlineLevel="1" x14ac:dyDescent="0.35">
      <c r="A34" s="165" t="str">
        <f>IF($H$2&gt;10,"Verbindung Sprung 5","entfällt")</f>
        <v>Verbindung Sprung 5</v>
      </c>
      <c r="B34" s="166"/>
      <c r="C34" s="40" t="s">
        <v>50</v>
      </c>
      <c r="D34" s="40">
        <v>6</v>
      </c>
      <c r="E34" s="40">
        <v>3</v>
      </c>
      <c r="F34" s="42">
        <v>2</v>
      </c>
      <c r="G34" s="71" t="str">
        <f>IF(H2&gt;12,"Wert - Abzug","entfällt")</f>
        <v>Wert - Abzug</v>
      </c>
      <c r="H34" s="66"/>
    </row>
    <row r="35" spans="1:8" ht="15" outlineLevel="1" thickBot="1" x14ac:dyDescent="0.4">
      <c r="A35" s="171" t="str">
        <f>IF($H$2&gt;10,"Verbindung Sprung 6","entfällt")</f>
        <v>Verbindung Sprung 6</v>
      </c>
      <c r="B35" s="172"/>
      <c r="C35" s="68" t="s">
        <v>60</v>
      </c>
      <c r="D35" s="68">
        <v>14</v>
      </c>
      <c r="E35" s="68">
        <v>3</v>
      </c>
      <c r="F35" s="69">
        <v>3</v>
      </c>
      <c r="G35" s="72" t="str">
        <f>IF(H2&gt;12,"Wert - Abzug","entfällt")</f>
        <v>Wert - Abzug</v>
      </c>
      <c r="H35" s="70">
        <f>30-F30-F31-F32-F33-F34-F35</f>
        <v>4</v>
      </c>
    </row>
    <row r="36" spans="1:8" ht="15" thickBot="1" x14ac:dyDescent="0.4">
      <c r="A36" s="173" t="s">
        <v>41</v>
      </c>
      <c r="B36" s="174"/>
      <c r="C36" s="174"/>
      <c r="D36" s="174"/>
      <c r="E36" s="174"/>
      <c r="F36" s="174"/>
      <c r="G36" s="175"/>
      <c r="H36" s="89">
        <f>SUM(H20:H35)</f>
        <v>42.55</v>
      </c>
    </row>
    <row r="37" spans="1:8" ht="15" outlineLevel="1" thickBot="1" x14ac:dyDescent="0.4">
      <c r="A37" s="181" t="s">
        <v>99</v>
      </c>
      <c r="B37" s="182"/>
      <c r="C37" s="182"/>
      <c r="D37" s="183"/>
      <c r="E37" s="85" t="s">
        <v>27</v>
      </c>
      <c r="F37" s="85" t="s">
        <v>237</v>
      </c>
      <c r="G37" s="86" t="s">
        <v>28</v>
      </c>
      <c r="H37" s="49" t="s">
        <v>234</v>
      </c>
    </row>
    <row r="38" spans="1:8" outlineLevel="1" x14ac:dyDescent="0.35">
      <c r="A38" s="179" t="str">
        <f ca="1">VLOOKUP(1,INDIRECT($C$65),2,0)</f>
        <v>Flugrolle mit Überstrecken mit Anlauf</v>
      </c>
      <c r="B38" s="180"/>
      <c r="C38" s="180"/>
      <c r="D38" s="180"/>
      <c r="E38" s="92">
        <f ca="1">VLOOKUP(1,INDIRECT($C$65),3,0)</f>
        <v>3</v>
      </c>
      <c r="F38" s="79">
        <v>1.5</v>
      </c>
      <c r="G38" s="80" t="s">
        <v>146</v>
      </c>
      <c r="H38" s="84">
        <f ca="1">IF(E38=" ","",IF(F38="",0,E38-F38))</f>
        <v>1.5</v>
      </c>
    </row>
    <row r="39" spans="1:8" outlineLevel="1" x14ac:dyDescent="0.35">
      <c r="A39" s="163" t="str">
        <f ca="1">VLOOKUP(2,INDIRECT($C$65),2,0)</f>
        <v>--&gt; Strecksprung, Salto vorwärts gehockt</v>
      </c>
      <c r="B39" s="164"/>
      <c r="C39" s="164"/>
      <c r="D39" s="164"/>
      <c r="E39" s="87">
        <f ca="1">VLOOKUP(2,INDIRECT($C$65),3,0)</f>
        <v>4.5</v>
      </c>
      <c r="F39" s="43">
        <v>1.5</v>
      </c>
      <c r="G39" s="81" t="s">
        <v>146</v>
      </c>
      <c r="H39" s="84">
        <f t="shared" ref="H39:H49" ca="1" si="1">IF(E39=" ","",IF(F39="",0,E39-F39))</f>
        <v>3</v>
      </c>
    </row>
    <row r="40" spans="1:8" outlineLevel="1" x14ac:dyDescent="0.35">
      <c r="A40" s="163" t="str">
        <f ca="1">VLOOKUP(3,INDIRECT($C$65),2,0)</f>
        <v>Vorspreizen, Handstand mit 1/1 Drehung, abrollen</v>
      </c>
      <c r="B40" s="164"/>
      <c r="C40" s="164"/>
      <c r="D40" s="164"/>
      <c r="E40" s="87">
        <f ca="1">VLOOKUP(3,INDIRECT($C$65),3,0)</f>
        <v>3</v>
      </c>
      <c r="F40" s="43">
        <v>0</v>
      </c>
      <c r="G40" s="81" t="s">
        <v>146</v>
      </c>
      <c r="H40" s="84">
        <f t="shared" ca="1" si="1"/>
        <v>3</v>
      </c>
    </row>
    <row r="41" spans="1:8" outlineLevel="1" x14ac:dyDescent="0.35">
      <c r="A41" s="163" t="str">
        <f ca="1">VLOOKUP(4,INDIRECT($C$65),2,0)</f>
        <v>--&gt; Aufstehen mit gestreckten Beinen</v>
      </c>
      <c r="B41" s="164"/>
      <c r="C41" s="164"/>
      <c r="D41" s="164"/>
      <c r="E41" s="87">
        <f ca="1">VLOOKUP(4,INDIRECT($C$65),3,0)</f>
        <v>3</v>
      </c>
      <c r="F41" s="43">
        <v>1.5</v>
      </c>
      <c r="G41" s="81" t="s">
        <v>146</v>
      </c>
      <c r="H41" s="84">
        <f t="shared" ca="1" si="1"/>
        <v>1.5</v>
      </c>
    </row>
    <row r="42" spans="1:8" outlineLevel="1" x14ac:dyDescent="0.35">
      <c r="A42" s="163" t="str">
        <f ca="1">VLOOKUP(5,INDIRECT($C$65),2,0)</f>
        <v>Vorspreizen, Bestellschritt, Strecksprung 3/2 Drehung</v>
      </c>
      <c r="B42" s="164"/>
      <c r="C42" s="164"/>
      <c r="D42" s="164"/>
      <c r="E42" s="87">
        <f ca="1">VLOOKUP(5,INDIRECT($C$65),3,0)</f>
        <v>3</v>
      </c>
      <c r="F42" s="43">
        <v>1.5</v>
      </c>
      <c r="G42" s="81" t="s">
        <v>146</v>
      </c>
      <c r="H42" s="84">
        <f t="shared" ca="1" si="1"/>
        <v>1.5</v>
      </c>
    </row>
    <row r="43" spans="1:8" outlineLevel="1" x14ac:dyDescent="0.35">
      <c r="A43" s="163" t="str">
        <f ca="1">VLOOKUP(6,INDIRECT($C$65),2,0)</f>
        <v>Salto rückwärts gehockt</v>
      </c>
      <c r="B43" s="164"/>
      <c r="C43" s="164"/>
      <c r="D43" s="164"/>
      <c r="E43" s="87">
        <f ca="1">VLOOKUP(6,INDIRECT($C$65),3,0)</f>
        <v>3</v>
      </c>
      <c r="F43" s="43">
        <v>0</v>
      </c>
      <c r="G43" s="81" t="s">
        <v>146</v>
      </c>
      <c r="H43" s="84">
        <f t="shared" ca="1" si="1"/>
        <v>3</v>
      </c>
    </row>
    <row r="44" spans="1:8" outlineLevel="1" x14ac:dyDescent="0.35">
      <c r="A44" s="163" t="str">
        <f ca="1">VLOOKUP(7,INDIRECT($C$65),2,0)</f>
        <v>Handstützüberschlag</v>
      </c>
      <c r="B44" s="164"/>
      <c r="C44" s="164"/>
      <c r="D44" s="164"/>
      <c r="E44" s="87">
        <f ca="1">VLOOKUP(7,INDIRECT($C$65),3,0)</f>
        <v>3</v>
      </c>
      <c r="F44" s="43">
        <v>0.5</v>
      </c>
      <c r="G44" s="81" t="s">
        <v>146</v>
      </c>
      <c r="H44" s="84">
        <f t="shared" ca="1" si="1"/>
        <v>2.5</v>
      </c>
    </row>
    <row r="45" spans="1:8" outlineLevel="1" x14ac:dyDescent="0.35">
      <c r="A45" s="163" t="str">
        <f ca="1">VLOOKUP(8,INDIRECT($C$65),2,0)</f>
        <v>--&gt; Ansprung Schrittstellung, Handstand mit zwei Hüpfern</v>
      </c>
      <c r="B45" s="164"/>
      <c r="C45" s="164"/>
      <c r="D45" s="164"/>
      <c r="E45" s="87">
        <f ca="1">VLOOKUP(8,INDIRECT($C$65),3,0)</f>
        <v>3</v>
      </c>
      <c r="F45" s="43">
        <v>0.5</v>
      </c>
      <c r="G45" s="81" t="s">
        <v>146</v>
      </c>
      <c r="H45" s="84">
        <f t="shared" ca="1" si="1"/>
        <v>2.5</v>
      </c>
    </row>
    <row r="46" spans="1:8" outlineLevel="1" x14ac:dyDescent="0.35">
      <c r="A46" s="163" t="str">
        <f ca="1">VLOOKUP(9,INDIRECT($C$65),2,0)</f>
        <v>Abrollen --&gt; Strecksprung 1/2 Drehung</v>
      </c>
      <c r="B46" s="164"/>
      <c r="C46" s="164"/>
      <c r="D46" s="164"/>
      <c r="E46" s="87">
        <f ca="1">VLOOKUP(9,INDIRECT($C$65),3,0)</f>
        <v>1.5</v>
      </c>
      <c r="F46" s="43">
        <v>0</v>
      </c>
      <c r="G46" s="81" t="str">
        <f>IF(H2&gt;16,"","Wert - Abzug")</f>
        <v>Wert - Abzug</v>
      </c>
      <c r="H46" s="84">
        <f t="shared" ca="1" si="1"/>
        <v>1.5</v>
      </c>
    </row>
    <row r="47" spans="1:8" outlineLevel="1" x14ac:dyDescent="0.35">
      <c r="A47" s="163" t="str">
        <f ca="1">VLOOKUP(10,INDIRECT($C$65),2,0)</f>
        <v>Salto vorwärts gebückt mit Anlauf</v>
      </c>
      <c r="B47" s="164"/>
      <c r="C47" s="164"/>
      <c r="D47" s="164"/>
      <c r="E47" s="87">
        <f ca="1">VLOOKUP(10,INDIRECT($C$65),3,0)</f>
        <v>3</v>
      </c>
      <c r="F47" s="43">
        <v>0.5</v>
      </c>
      <c r="G47" s="81" t="str">
        <f>IF(H2&gt;16,"","Wert - Abzug")</f>
        <v>Wert - Abzug</v>
      </c>
      <c r="H47" s="84">
        <f t="shared" ca="1" si="1"/>
        <v>2.5</v>
      </c>
    </row>
    <row r="48" spans="1:8" outlineLevel="1" x14ac:dyDescent="0.35">
      <c r="A48" s="163" t="str">
        <f ca="1">VLOOKUP(11,INDIRECT($C$65),2,0)</f>
        <v xml:space="preserve"> </v>
      </c>
      <c r="B48" s="164"/>
      <c r="C48" s="164"/>
      <c r="D48" s="164"/>
      <c r="E48" s="87" t="str">
        <f ca="1">VLOOKUP(11,INDIRECT($C$65),3,0)</f>
        <v xml:space="preserve"> </v>
      </c>
      <c r="F48" s="43"/>
      <c r="G48" s="81" t="str">
        <f>IF(H2&gt;13,"","Wert - Abzug")</f>
        <v/>
      </c>
      <c r="H48" s="84" t="str">
        <f t="shared" ca="1" si="1"/>
        <v/>
      </c>
    </row>
    <row r="49" spans="1:8" ht="15" outlineLevel="1" thickBot="1" x14ac:dyDescent="0.4">
      <c r="A49" s="184" t="str">
        <f ca="1">VLOOKUP(12,INDIRECT($C$65),2,0)</f>
        <v xml:space="preserve"> </v>
      </c>
      <c r="B49" s="185"/>
      <c r="C49" s="185"/>
      <c r="D49" s="185"/>
      <c r="E49" s="93" t="str">
        <f ca="1">VLOOKUP(12,INDIRECT($C$65),3,0)</f>
        <v xml:space="preserve"> </v>
      </c>
      <c r="F49" s="82"/>
      <c r="G49" s="83" t="str">
        <f>IF(OR(H2=9,H2=12,H2=13),"Wert - Abzug","")</f>
        <v/>
      </c>
      <c r="H49" s="84" t="str">
        <f t="shared" ca="1" si="1"/>
        <v/>
      </c>
    </row>
    <row r="50" spans="1:8" ht="15" thickBot="1" x14ac:dyDescent="0.4">
      <c r="A50" s="176" t="s">
        <v>98</v>
      </c>
      <c r="B50" s="177"/>
      <c r="C50" s="177"/>
      <c r="D50" s="177"/>
      <c r="E50" s="177"/>
      <c r="F50" s="177"/>
      <c r="G50" s="178"/>
      <c r="H50" s="44">
        <f ca="1">SUM(H38:H49)</f>
        <v>22.5</v>
      </c>
    </row>
    <row r="51" spans="1:8" ht="16" thickBot="1" x14ac:dyDescent="0.4">
      <c r="A51" s="169" t="s">
        <v>42</v>
      </c>
      <c r="B51" s="170"/>
      <c r="C51" s="170"/>
      <c r="D51" s="170"/>
      <c r="E51" s="170"/>
      <c r="F51" s="170"/>
      <c r="G51" s="170"/>
      <c r="H51" s="94">
        <f ca="1">SUM(H9,H18,H36,H50)</f>
        <v>140.05000000000001</v>
      </c>
    </row>
    <row r="52" spans="1:8" s="23" customFormat="1" x14ac:dyDescent="0.35">
      <c r="D52" s="50"/>
      <c r="E52" s="50"/>
      <c r="F52" s="50"/>
      <c r="G52" s="50"/>
    </row>
    <row r="53" spans="1:8" s="23" customFormat="1" hidden="1" x14ac:dyDescent="0.35">
      <c r="C53" s="24"/>
      <c r="D53" s="50"/>
      <c r="E53" s="50"/>
      <c r="F53" s="50"/>
      <c r="G53" s="50"/>
    </row>
    <row r="54" spans="1:8" s="23" customFormat="1" hidden="1" x14ac:dyDescent="0.35">
      <c r="B54" s="23" t="s">
        <v>249</v>
      </c>
      <c r="C54" s="23" t="str">
        <f>IF(H2&lt;13,"beide",F1)</f>
        <v>weiblich</v>
      </c>
      <c r="D54" s="50"/>
      <c r="E54" s="50"/>
      <c r="F54" s="50"/>
      <c r="G54" s="50"/>
    </row>
    <row r="55" spans="1:8" s="23" customFormat="1" hidden="1" x14ac:dyDescent="0.35">
      <c r="B55" s="23" t="s">
        <v>3</v>
      </c>
      <c r="C55" s="23" t="str">
        <f>IF(OR(H2=8,H2=11),H2,IF(H2&lt;11,"9_10",IF(H2&lt;14,"12_13",IF(H2&lt;16,"14_15",IF(H2&lt;18,"16_17",18)))))</f>
        <v>16_17</v>
      </c>
      <c r="D55" s="50"/>
      <c r="E55" s="50"/>
      <c r="F55" s="50"/>
      <c r="G55" s="50"/>
    </row>
    <row r="56" spans="1:8" s="23" customFormat="1" hidden="1" x14ac:dyDescent="0.35">
      <c r="D56" s="50"/>
      <c r="E56" s="50"/>
      <c r="F56" s="50"/>
      <c r="G56" s="50"/>
    </row>
    <row r="57" spans="1:8" s="23" customFormat="1" hidden="1" x14ac:dyDescent="0.35">
      <c r="B57" s="23" t="s">
        <v>251</v>
      </c>
      <c r="C57" s="23" t="str">
        <f>"TBN_"&amp;C54&amp;"_"&amp;C55</f>
        <v>TBN_weiblich_16_17</v>
      </c>
      <c r="D57" s="50"/>
      <c r="E57" s="50"/>
      <c r="F57" s="50"/>
      <c r="G57" s="50"/>
    </row>
    <row r="58" spans="1:8" s="23" customFormat="1" hidden="1" x14ac:dyDescent="0.35">
      <c r="C58" s="23" t="str">
        <f>C57&amp;"[Beschreibung]"</f>
        <v>TBN_weiblich_16_17[Beschreibung]</v>
      </c>
      <c r="D58" s="50"/>
      <c r="E58" s="50"/>
      <c r="F58" s="50"/>
      <c r="G58" s="50"/>
    </row>
    <row r="59" spans="1:8" s="23" customFormat="1" hidden="1" x14ac:dyDescent="0.35">
      <c r="D59" s="50"/>
      <c r="E59" s="50"/>
      <c r="F59" s="50"/>
      <c r="G59" s="50"/>
    </row>
    <row r="60" spans="1:8" s="23" customFormat="1" hidden="1" x14ac:dyDescent="0.35">
      <c r="B60" s="23" t="s">
        <v>147</v>
      </c>
      <c r="C60" s="23" t="str">
        <f>"TN_"&amp;C54&amp;"_"&amp;C55</f>
        <v>TN_weiblich_16_17</v>
      </c>
      <c r="D60" s="50"/>
      <c r="E60" s="50"/>
      <c r="F60" s="50"/>
      <c r="G60" s="50"/>
    </row>
    <row r="61" spans="1:8" s="23" customFormat="1" hidden="1" x14ac:dyDescent="0.35">
      <c r="C61" s="23" t="str">
        <f>C60&amp;"[Beschreibung]"</f>
        <v>TN_weiblich_16_17[Beschreibung]</v>
      </c>
      <c r="D61" s="50"/>
      <c r="E61" s="50"/>
      <c r="F61" s="50"/>
      <c r="G61" s="50"/>
    </row>
    <row r="62" spans="1:8" s="23" customFormat="1" hidden="1" x14ac:dyDescent="0.35">
      <c r="D62" s="50"/>
      <c r="E62" s="50"/>
      <c r="F62" s="50"/>
      <c r="G62" s="50"/>
    </row>
    <row r="63" spans="1:8" s="23" customFormat="1" hidden="1" x14ac:dyDescent="0.35">
      <c r="B63" s="23" t="s">
        <v>17</v>
      </c>
      <c r="C63" s="23" t="str">
        <f>"TV_"&amp;F1&amp;"_"&amp;C55</f>
        <v>TV_weiblich_16_17</v>
      </c>
      <c r="D63" s="50"/>
      <c r="E63" s="50"/>
      <c r="F63" s="50"/>
      <c r="G63" s="50"/>
    </row>
    <row r="64" spans="1:8" s="23" customFormat="1" hidden="1" x14ac:dyDescent="0.35">
      <c r="D64" s="50"/>
      <c r="E64" s="50"/>
      <c r="F64" s="50"/>
      <c r="G64" s="50"/>
    </row>
    <row r="65" spans="2:7" s="23" customFormat="1" hidden="1" x14ac:dyDescent="0.35">
      <c r="B65" s="23" t="s">
        <v>252</v>
      </c>
      <c r="C65" s="23" t="str">
        <f>"BKÜ"&amp;IF(H2=9,"_9",IF(H2&lt;12,"_10_11",IF(H2&lt;14,"_12_13",IF(H2&lt;17,"_14_16","_17"))))</f>
        <v>BKÜ_14_16</v>
      </c>
      <c r="D65" s="50"/>
      <c r="E65" s="50"/>
      <c r="F65" s="50"/>
      <c r="G65" s="50"/>
    </row>
    <row r="66" spans="2:7" s="23" customFormat="1" hidden="1" x14ac:dyDescent="0.35">
      <c r="D66" s="50"/>
      <c r="E66" s="50"/>
      <c r="F66" s="50"/>
      <c r="G66" s="50"/>
    </row>
    <row r="67" spans="2:7" s="23" customFormat="1" hidden="1" x14ac:dyDescent="0.35">
      <c r="B67" s="23" t="s">
        <v>250</v>
      </c>
      <c r="C67" s="23" t="str">
        <f>IF(H2&lt;17,"beide",F1)</f>
        <v>beide</v>
      </c>
      <c r="D67" s="50"/>
      <c r="E67" s="50"/>
      <c r="F67" s="50"/>
      <c r="G67" s="50"/>
    </row>
    <row r="68" spans="2:7" s="23" customFormat="1" hidden="1" x14ac:dyDescent="0.35">
      <c r="B68" s="23" t="s">
        <v>17</v>
      </c>
      <c r="C68" s="23" t="str">
        <f>"TV_"&amp;C67&amp;"_"&amp;C55</f>
        <v>TV_beide_16_17</v>
      </c>
      <c r="D68" s="50"/>
      <c r="E68" s="50"/>
      <c r="F68" s="50"/>
      <c r="G68" s="50"/>
    </row>
    <row r="69" spans="2:7" x14ac:dyDescent="0.35"/>
    <row r="70" spans="2:7" x14ac:dyDescent="0.35"/>
  </sheetData>
  <sheetProtection selectLockedCells="1"/>
  <protectedRanges>
    <protectedRange sqref="H1:H2 F1:F2 B1:B2" name="Athletendaten"/>
    <protectedRange sqref="F48:F49 C20:F29 D69:E440 C69:C441 F4:F8 C38:E68 C11:E16 F11:F17" name="Werte und Varianten"/>
    <protectedRange algorithmName="SHA-512" hashValue="EtPG7jm6pk6JVG08ToKZL4Sto4PS6TOUsygvFmj6DTfcGnX6DwKdfjTEg/2X1Hwnu/CwfNhBUSnXKs/oLqcupQ==" saltValue="sPse4fdTsI5OFESYvRIl8Q==" spinCount="100000" sqref="H4:H8 H38:H49 H20:H35 H11:H17" name="Punktzahlen"/>
    <protectedRange sqref="F30:F35" name="Werte und Varianten_2"/>
    <protectedRange sqref="C30:E35" name="Werte und Varianten_1_2"/>
    <protectedRange sqref="F38:F47" name="Werte und Varianten_4"/>
  </protectedRanges>
  <mergeCells count="44">
    <mergeCell ref="A50:G50"/>
    <mergeCell ref="A51:G51"/>
    <mergeCell ref="A44:D44"/>
    <mergeCell ref="A45:D45"/>
    <mergeCell ref="A46:D46"/>
    <mergeCell ref="A47:D47"/>
    <mergeCell ref="A48:D48"/>
    <mergeCell ref="A49:D49"/>
    <mergeCell ref="A43:D43"/>
    <mergeCell ref="A32:B32"/>
    <mergeCell ref="A33:B33"/>
    <mergeCell ref="A34:B34"/>
    <mergeCell ref="A35:B35"/>
    <mergeCell ref="A36:G36"/>
    <mergeCell ref="A37:D37"/>
    <mergeCell ref="A38:D38"/>
    <mergeCell ref="A39:D39"/>
    <mergeCell ref="A40:D40"/>
    <mergeCell ref="A41:D41"/>
    <mergeCell ref="A42:D42"/>
    <mergeCell ref="A31:B31"/>
    <mergeCell ref="A13:E13"/>
    <mergeCell ref="A14:E14"/>
    <mergeCell ref="A15:E15"/>
    <mergeCell ref="A16:E16"/>
    <mergeCell ref="A18:G18"/>
    <mergeCell ref="A19:C19"/>
    <mergeCell ref="A20:B20"/>
    <mergeCell ref="A21:B21"/>
    <mergeCell ref="A22:B22"/>
    <mergeCell ref="A23:B23"/>
    <mergeCell ref="A30:B30"/>
    <mergeCell ref="A12:E12"/>
    <mergeCell ref="B1:E1"/>
    <mergeCell ref="B2:F2"/>
    <mergeCell ref="A3:E3"/>
    <mergeCell ref="A4:E4"/>
    <mergeCell ref="A5:E5"/>
    <mergeCell ref="A6:E6"/>
    <mergeCell ref="A7:E7"/>
    <mergeCell ref="A8:E8"/>
    <mergeCell ref="A9:G9"/>
    <mergeCell ref="A10:E10"/>
    <mergeCell ref="A11:E11"/>
  </mergeCells>
  <conditionalFormatting sqref="F48:F49">
    <cfRule type="expression" dxfId="262" priority="9">
      <formula>$A48=" "</formula>
    </cfRule>
  </conditionalFormatting>
  <conditionalFormatting sqref="B24:B29 C21:E23 C28:E29">
    <cfRule type="expression" dxfId="261" priority="8">
      <formula>$A21="entfällt"</formula>
    </cfRule>
    <cfRule type="expression" dxfId="260" priority="10">
      <formula>$H$2&gt;14</formula>
    </cfRule>
  </conditionalFormatting>
  <conditionalFormatting sqref="B24:B29">
    <cfRule type="expression" dxfId="259" priority="7">
      <formula>AND($A24="TN",$C24&lt;&gt;"")</formula>
    </cfRule>
  </conditionalFormatting>
  <conditionalFormatting sqref="C24:E27">
    <cfRule type="expression" dxfId="258" priority="3">
      <formula>$A24="entfällt"</formula>
    </cfRule>
    <cfRule type="expression" dxfId="257" priority="4">
      <formula>$H$2&gt;14</formula>
    </cfRule>
  </conditionalFormatting>
  <conditionalFormatting sqref="F46:F47">
    <cfRule type="expression" dxfId="256" priority="1">
      <formula>$A46=" "</formula>
    </cfRule>
  </conditionalFormatting>
  <dataValidations count="19">
    <dataValidation type="decimal" errorStyle="warning" allowBlank="1" showInputMessage="1" showErrorMessage="1" error="Eingegebener Abzug überschreitet maximal zulässigen Abzug, Wert bitte überprüfen!" sqref="F21:F35" xr:uid="{1F9E4C85-24F6-4B51-B48B-782EFAE3F136}">
      <formula1>0</formula1>
      <formula2>$E21</formula2>
    </dataValidation>
    <dataValidation type="list" allowBlank="1" showInputMessage="1" showErrorMessage="1" sqref="C20" xr:uid="{2CF59A8C-FA27-4E47-AD68-E18D05A2E431}">
      <formula1>"Lichtschranke,Druckmessplatte"</formula1>
    </dataValidation>
    <dataValidation type="whole" allowBlank="1" showInputMessage="1" showErrorMessage="1" errorTitle="Falsche Eingabe" error="Bitte Wert prüfen" sqref="D17" xr:uid="{2720446A-8F59-4B8F-9540-746714165AAD}">
      <formula1>1</formula1>
      <formula2>13</formula2>
    </dataValidation>
    <dataValidation type="list" allowBlank="1" showInputMessage="1" sqref="C24:C29" xr:uid="{A944FA26-E6EB-4177-BEAC-D029D8CC3948}">
      <formula1>INDIRECT($C$61)</formula1>
    </dataValidation>
    <dataValidation type="list" allowBlank="1" showInputMessage="1" sqref="C21:C23" xr:uid="{7EEDEEF1-A27C-4CC3-B674-51A5D6503102}">
      <formula1>INDIRECT($C$58)</formula1>
    </dataValidation>
    <dataValidation allowBlank="1" showInputMessage="1" showErrorMessage="1" prompt="Anzahl der Wiederholungen" sqref="F11" xr:uid="{13B4DB1E-7770-4868-87BA-34C1E86E911B}"/>
    <dataValidation type="whole" allowBlank="1" showInputMessage="1" showErrorMessage="1" prompt="Abstand von der Oberkante des Turnhockers zur schlechtesten Fingerspitze in cm" sqref="F6" xr:uid="{ABD006E9-4C5A-40ED-AA8E-BDB6EAE879CE}">
      <formula1>-50</formula1>
      <formula2>50</formula2>
    </dataValidation>
    <dataValidation type="list" allowBlank="1" showInputMessage="1" showErrorMessage="1" prompt="Punktzahl nach Vergleich mit Bild" sqref="F5" xr:uid="{F11B5585-94EE-4686-AC0F-A035AE2D2CA1}">
      <formula1>"0,2,6,10"</formula1>
    </dataValidation>
    <dataValidation type="whole" allowBlank="1" showErrorMessage="1" errorTitle="Falsche Eingabe" error="Bitte Wert prüfen" prompt="Höchste erreichte Stufe" sqref="F17" xr:uid="{7FFBE9D1-EC4F-4742-A4CC-71A922479D8B}">
      <formula1>1</formula1>
      <formula2>11</formula2>
    </dataValidation>
    <dataValidation allowBlank="1" sqref="D20:E20" xr:uid="{A4F9932F-D0B8-4812-9969-94A6068C527E}"/>
    <dataValidation type="decimal" errorStyle="warning" allowBlank="1" showInputMessage="1" showErrorMessage="1" error="Abzug höher als Wert des Elements, bitte überprüfen!" prompt="Abzug" sqref="F38:F49" xr:uid="{6F933396-0B82-4152-8839-42A7B73E9FFF}">
      <formula1>0</formula1>
      <formula2>$E38</formula2>
    </dataValidation>
    <dataValidation type="whole" allowBlank="1" showInputMessage="1" showErrorMessage="1" prompt="AKs 9 - 13: Übersprungene Kästchen_x000a__x000a_AKs 14 - 21: Anzahl Saltos" sqref="F15" xr:uid="{185AEB8E-6F03-442F-A570-30A91E0E0922}">
      <formula1>0</formula1>
      <formula2>50</formula2>
    </dataValidation>
    <dataValidation type="list" allowBlank="1" showInputMessage="1" showErrorMessage="1" sqref="F1" xr:uid="{B11C0F3F-A0A7-4A80-9EE0-A65330E2FC66}">
      <formula1>"männlich,weiblich"</formula1>
    </dataValidation>
    <dataValidation type="whole" allowBlank="1" showInputMessage="1" showErrorMessage="1" sqref="H4:H8" xr:uid="{F7A15C7B-2D72-42C0-BFFA-827C336BD54A}">
      <formula1>0</formula1>
      <formula2>10</formula2>
    </dataValidation>
    <dataValidation type="whole" allowBlank="1" showInputMessage="1" showErrorMessage="1" prompt="Haltezeit in Sekunden" sqref="F13" xr:uid="{047A6EEB-202E-4F02-83D0-333E6B2475C3}">
      <formula1>0</formula1>
      <formula2>200</formula2>
    </dataValidation>
    <dataValidation type="whole" allowBlank="1" showInputMessage="1" showErrorMessage="1" prompt="Haltezeit in Sekunden" sqref="F16" xr:uid="{0C3818F3-75E1-46FE-B63E-7428B4F757CB}">
      <formula1>0</formula1>
      <formula2>100</formula2>
    </dataValidation>
    <dataValidation type="whole" allowBlank="1" showInputMessage="1" showErrorMessage="1" prompt="Anzahl der Wiederholungen" sqref="F14 F12" xr:uid="{4CBA7384-3564-45B5-8B4F-C214975604D2}">
      <formula1>0</formula1>
      <formula2>50</formula2>
    </dataValidation>
    <dataValidation type="list" operator="equal" allowBlank="1" showInputMessage="1" showErrorMessage="1" prompt="Punktzahl nach Vergleich mit Bild" sqref="F4" xr:uid="{59607255-33E3-445A-B3CB-1B7F688A67C8}">
      <formula1>"0,2,6,10"</formula1>
    </dataValidation>
    <dataValidation type="decimal" errorStyle="warning" showDropDown="1" showErrorMessage="1" error="Wert unrealistisch hoch, bitte Eingabe überprüfen" promptTitle="Vorsicht" sqref="F20" xr:uid="{69679B8B-A664-4FA3-9A36-4F7DA53AC610}">
      <formula1>0</formula1>
      <formula2>30</formula2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Bitte Werte aus Dropdown auswählen" prompt="Abstand vom Boden laut Schablone" xr:uid="{55C03F01-4399-48AE-934D-FC57B5BB0114}">
          <x14:formula1>
            <xm:f>Punktetabellen!$A$3:$A$6</xm:f>
          </x14:formula1>
          <xm:sqref>F7:F8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08EEA-216E-496F-931C-8E2D0EE627E1}">
  <sheetPr codeName="Tabelle38">
    <tabColor indexed="47"/>
    <pageSetUpPr fitToPage="1"/>
  </sheetPr>
  <dimension ref="A1:J70"/>
  <sheetViews>
    <sheetView zoomScale="85" zoomScaleNormal="85" workbookViewId="0">
      <pane ySplit="2" topLeftCell="A48" activePane="bottomLeft" state="frozen"/>
      <selection sqref="A1:H1"/>
      <selection pane="bottomLeft" activeCell="D19" sqref="D19"/>
    </sheetView>
  </sheetViews>
  <sheetFormatPr baseColWidth="10" defaultColWidth="0" defaultRowHeight="14.5" zeroHeight="1" outlineLevelRow="1" x14ac:dyDescent="0.35"/>
  <cols>
    <col min="1" max="1" width="11.453125" customWidth="1"/>
    <col min="2" max="2" width="12.1796875" customWidth="1"/>
    <col min="3" max="3" width="44.81640625" bestFit="1" customWidth="1"/>
    <col min="4" max="5" width="11.453125" style="154" customWidth="1"/>
    <col min="6" max="6" width="16.1796875" style="154" bestFit="1" customWidth="1"/>
    <col min="7" max="7" width="13.81640625" style="154" customWidth="1"/>
    <col min="8" max="8" width="11.453125" customWidth="1"/>
    <col min="9" max="9" width="6.1796875" style="23" hidden="1" customWidth="1"/>
    <col min="10" max="10" width="0" hidden="1" customWidth="1"/>
    <col min="11" max="16384" width="11.453125" hidden="1"/>
  </cols>
  <sheetData>
    <row r="1" spans="1:8" ht="15.5" x14ac:dyDescent="0.35">
      <c r="A1" s="16" t="s">
        <v>1</v>
      </c>
      <c r="B1" s="186" t="s">
        <v>393</v>
      </c>
      <c r="C1" s="187"/>
      <c r="D1" s="187"/>
      <c r="E1" s="188"/>
      <c r="F1" s="51" t="s">
        <v>97</v>
      </c>
      <c r="G1" s="61" t="s">
        <v>24</v>
      </c>
      <c r="H1" s="63">
        <v>2006</v>
      </c>
    </row>
    <row r="2" spans="1:8" ht="16" thickBot="1" x14ac:dyDescent="0.4">
      <c r="A2" s="17" t="s">
        <v>4</v>
      </c>
      <c r="B2" s="198" t="s">
        <v>394</v>
      </c>
      <c r="C2" s="199"/>
      <c r="D2" s="199"/>
      <c r="E2" s="199"/>
      <c r="F2" s="200"/>
      <c r="G2" s="62" t="s">
        <v>3</v>
      </c>
      <c r="H2" s="64">
        <f>2022-H1</f>
        <v>16</v>
      </c>
    </row>
    <row r="3" spans="1:8" ht="15" outlineLevel="1" thickBot="1" x14ac:dyDescent="0.4">
      <c r="A3" s="189" t="s">
        <v>26</v>
      </c>
      <c r="B3" s="190"/>
      <c r="C3" s="190"/>
      <c r="D3" s="190"/>
      <c r="E3" s="191"/>
      <c r="F3" s="46" t="s">
        <v>27</v>
      </c>
      <c r="G3" s="47" t="s">
        <v>28</v>
      </c>
      <c r="H3" s="22" t="s">
        <v>234</v>
      </c>
    </row>
    <row r="4" spans="1:8" outlineLevel="1" x14ac:dyDescent="0.35">
      <c r="A4" s="192" t="s">
        <v>30</v>
      </c>
      <c r="B4" s="193"/>
      <c r="C4" s="193"/>
      <c r="D4" s="193"/>
      <c r="E4" s="194"/>
      <c r="F4" s="25">
        <v>10</v>
      </c>
      <c r="G4" s="55" t="s">
        <v>32</v>
      </c>
      <c r="H4" s="34">
        <f>F4</f>
        <v>10</v>
      </c>
    </row>
    <row r="5" spans="1:8" outlineLevel="1" x14ac:dyDescent="0.35">
      <c r="A5" s="195" t="s">
        <v>85</v>
      </c>
      <c r="B5" s="196"/>
      <c r="C5" s="196"/>
      <c r="D5" s="196"/>
      <c r="E5" s="197"/>
      <c r="F5" s="14">
        <v>10</v>
      </c>
      <c r="G5" s="56" t="s">
        <v>32</v>
      </c>
      <c r="H5" s="35">
        <f>F5</f>
        <v>10</v>
      </c>
    </row>
    <row r="6" spans="1:8" outlineLevel="1" x14ac:dyDescent="0.35">
      <c r="A6" s="195" t="s">
        <v>33</v>
      </c>
      <c r="B6" s="196"/>
      <c r="C6" s="196"/>
      <c r="D6" s="196"/>
      <c r="E6" s="197"/>
      <c r="F6" s="14">
        <v>20</v>
      </c>
      <c r="G6" s="56" t="s">
        <v>31</v>
      </c>
      <c r="H6" s="35">
        <f>IF(F6="",0,VLOOKUP(F6,Punktetabellen!A10:B15,2,1))</f>
        <v>10</v>
      </c>
    </row>
    <row r="7" spans="1:8" outlineLevel="1" x14ac:dyDescent="0.35">
      <c r="A7" s="195" t="s">
        <v>34</v>
      </c>
      <c r="B7" s="196"/>
      <c r="C7" s="196"/>
      <c r="D7" s="196"/>
      <c r="E7" s="197"/>
      <c r="F7" s="14">
        <v>0</v>
      </c>
      <c r="G7" s="56" t="s">
        <v>31</v>
      </c>
      <c r="H7" s="35">
        <f>IF(F7="",0,VLOOKUP(F7,Punktetabellen!A3:B6,2,0))</f>
        <v>5</v>
      </c>
    </row>
    <row r="8" spans="1:8" ht="15" outlineLevel="1" thickBot="1" x14ac:dyDescent="0.4">
      <c r="A8" s="204" t="s">
        <v>35</v>
      </c>
      <c r="B8" s="205"/>
      <c r="C8" s="205"/>
      <c r="D8" s="205"/>
      <c r="E8" s="206"/>
      <c r="F8" s="41">
        <v>0</v>
      </c>
      <c r="G8" s="57" t="s">
        <v>31</v>
      </c>
      <c r="H8" s="36">
        <f>IF(F8="",0,VLOOKUP(F8,Punktetabellen!A3:B6,2,0))</f>
        <v>5</v>
      </c>
    </row>
    <row r="9" spans="1:8" ht="15" thickBot="1" x14ac:dyDescent="0.4">
      <c r="A9" s="210" t="s">
        <v>36</v>
      </c>
      <c r="B9" s="211"/>
      <c r="C9" s="211"/>
      <c r="D9" s="211"/>
      <c r="E9" s="211"/>
      <c r="F9" s="211"/>
      <c r="G9" s="211"/>
      <c r="H9" s="48">
        <f>SUM(H4:H8)</f>
        <v>40</v>
      </c>
    </row>
    <row r="10" spans="1:8" ht="15" outlineLevel="1" thickBot="1" x14ac:dyDescent="0.4">
      <c r="A10" s="189" t="s">
        <v>26</v>
      </c>
      <c r="B10" s="190"/>
      <c r="C10" s="190"/>
      <c r="D10" s="190"/>
      <c r="E10" s="191"/>
      <c r="F10" s="46" t="s">
        <v>27</v>
      </c>
      <c r="G10" s="47" t="s">
        <v>28</v>
      </c>
      <c r="H10" s="22" t="s">
        <v>234</v>
      </c>
    </row>
    <row r="11" spans="1:8" outlineLevel="1" x14ac:dyDescent="0.35">
      <c r="A11" s="207" t="s">
        <v>37</v>
      </c>
      <c r="B11" s="208"/>
      <c r="C11" s="208"/>
      <c r="D11" s="208"/>
      <c r="E11" s="209"/>
      <c r="F11" s="26">
        <v>7</v>
      </c>
      <c r="G11" s="58" t="s">
        <v>31</v>
      </c>
      <c r="H11" s="37">
        <f>IF($F11="",0,VLOOKUP($F11,Pkte_Klimmzug[],$H$2,1))</f>
        <v>4</v>
      </c>
    </row>
    <row r="12" spans="1:8" outlineLevel="1" x14ac:dyDescent="0.35">
      <c r="A12" s="201" t="s">
        <v>38</v>
      </c>
      <c r="B12" s="202"/>
      <c r="C12" s="202"/>
      <c r="D12" s="202"/>
      <c r="E12" s="203"/>
      <c r="F12" s="27">
        <v>4</v>
      </c>
      <c r="G12" s="59" t="s">
        <v>31</v>
      </c>
      <c r="H12" s="38">
        <f>IF($F12="",0,VLOOKUP($F12,Pkte_Beinheben[],$H$2,1))</f>
        <v>2</v>
      </c>
    </row>
    <row r="13" spans="1:8" outlineLevel="1" x14ac:dyDescent="0.35">
      <c r="A13" s="201" t="s">
        <v>88</v>
      </c>
      <c r="B13" s="202"/>
      <c r="C13" s="202"/>
      <c r="D13" s="202"/>
      <c r="E13" s="203"/>
      <c r="F13" s="27">
        <v>110</v>
      </c>
      <c r="G13" s="59" t="s">
        <v>31</v>
      </c>
      <c r="H13" s="38">
        <f>IF($F13="",0,VLOOKUP($F13,Pkte_Flieger[],$H$2,1))</f>
        <v>10</v>
      </c>
    </row>
    <row r="14" spans="1:8" outlineLevel="1" x14ac:dyDescent="0.35">
      <c r="A14" s="201" t="s">
        <v>39</v>
      </c>
      <c r="B14" s="202"/>
      <c r="C14" s="202"/>
      <c r="D14" s="202"/>
      <c r="E14" s="203"/>
      <c r="F14" s="27">
        <v>29</v>
      </c>
      <c r="G14" s="59" t="s">
        <v>31</v>
      </c>
      <c r="H14" s="38">
        <f>IF($F14="",0,VLOOKUP($F14,Pkte_Rollenverbindung[],$H$2,1))</f>
        <v>10</v>
      </c>
    </row>
    <row r="15" spans="1:8" outlineLevel="1" x14ac:dyDescent="0.35">
      <c r="A15" s="201" t="s">
        <v>89</v>
      </c>
      <c r="B15" s="202"/>
      <c r="C15" s="202"/>
      <c r="D15" s="202"/>
      <c r="E15" s="203"/>
      <c r="F15" s="27">
        <v>9</v>
      </c>
      <c r="G15" s="59" t="s">
        <v>31</v>
      </c>
      <c r="H15" s="38">
        <f>IF($F15="",0,VLOOKUP($F15,Pkte_Prellsprung[],$H$2,1))</f>
        <v>9</v>
      </c>
    </row>
    <row r="16" spans="1:8" outlineLevel="1" x14ac:dyDescent="0.35">
      <c r="A16" s="201" t="s">
        <v>90</v>
      </c>
      <c r="B16" s="202"/>
      <c r="C16" s="202"/>
      <c r="D16" s="202"/>
      <c r="E16" s="203"/>
      <c r="F16" s="28">
        <v>30</v>
      </c>
      <c r="G16" s="59" t="s">
        <v>31</v>
      </c>
      <c r="H16" s="38">
        <f>IF($F16="",0,VLOOKUP($F16,Pkte_Handstand[],$H$2,1))</f>
        <v>10</v>
      </c>
    </row>
    <row r="17" spans="1:8" ht="15" outlineLevel="1" thickBot="1" x14ac:dyDescent="0.4">
      <c r="A17" s="112" t="s">
        <v>93</v>
      </c>
      <c r="B17" s="113"/>
      <c r="C17" s="114" t="s">
        <v>269</v>
      </c>
      <c r="D17" s="29">
        <v>9</v>
      </c>
      <c r="E17" s="115" t="s">
        <v>270</v>
      </c>
      <c r="F17" s="29">
        <v>11</v>
      </c>
      <c r="G17" s="60" t="s">
        <v>31</v>
      </c>
      <c r="H17" s="39">
        <f>IF($F17="",0,IF($F$1="weiblich",VLOOKUP((100*$D17+$F17),Pkte_Shuttle_W[],$H$2,1),VLOOKUP((100*$D17+$F17),Pkte_Shuttle_M[],$H$2,1)))</f>
        <v>10</v>
      </c>
    </row>
    <row r="18" spans="1:8" ht="15" thickBot="1" x14ac:dyDescent="0.4">
      <c r="A18" s="161" t="s">
        <v>40</v>
      </c>
      <c r="B18" s="162"/>
      <c r="C18" s="162"/>
      <c r="D18" s="162"/>
      <c r="E18" s="162"/>
      <c r="F18" s="162"/>
      <c r="G18" s="162"/>
      <c r="H18" s="48">
        <f>SUM(H11:H17)</f>
        <v>55</v>
      </c>
    </row>
    <row r="19" spans="1:8" ht="15" outlineLevel="1" thickBot="1" x14ac:dyDescent="0.4">
      <c r="A19" s="159" t="s">
        <v>26</v>
      </c>
      <c r="B19" s="160"/>
      <c r="C19" s="160"/>
      <c r="D19" s="85" t="s">
        <v>235</v>
      </c>
      <c r="E19" s="85" t="s">
        <v>238</v>
      </c>
      <c r="F19" s="85" t="s">
        <v>236</v>
      </c>
      <c r="G19" s="86" t="s">
        <v>28</v>
      </c>
      <c r="H19" s="49" t="s">
        <v>234</v>
      </c>
    </row>
    <row r="20" spans="1:8" outlineLevel="1" x14ac:dyDescent="0.35">
      <c r="A20" s="167" t="s">
        <v>148</v>
      </c>
      <c r="B20" s="168"/>
      <c r="C20" s="116" t="s">
        <v>277</v>
      </c>
      <c r="D20" s="90">
        <f>IF(F1="männlich",VLOOKUP(H2,Standsprünge!A3:C15,3,0),VLOOKUP(H2,Standsprünge!A3:B15,2,0))+IF(C20="Druckmessplatte",0)</f>
        <v>15.9</v>
      </c>
      <c r="E20" s="90"/>
      <c r="F20" s="67">
        <v>16.905000000000001</v>
      </c>
      <c r="G20" s="91" t="s">
        <v>149</v>
      </c>
      <c r="H20" s="88">
        <f>IF(F20="",0,(F20-D20)*10)</f>
        <v>10.050000000000008</v>
      </c>
    </row>
    <row r="21" spans="1:8" outlineLevel="1" x14ac:dyDescent="0.35">
      <c r="A21" s="165" t="str">
        <f>IF(H2&gt;15,"entfällt","TBN")</f>
        <v>entfällt</v>
      </c>
      <c r="B21" s="166"/>
      <c r="C21" s="77"/>
      <c r="D21" s="78" t="str">
        <f ca="1">IF(C21="","",VLOOKUP(C21,INDIRECT($C$57),2,0))</f>
        <v/>
      </c>
      <c r="E21" s="78" t="str">
        <f ca="1">IF(C21="","",VLOOKUP(C21,INDIRECT($C$57),3,0))</f>
        <v/>
      </c>
      <c r="F21" s="42"/>
      <c r="G21" s="71" t="str">
        <f>IF(H2&gt;16,"entfällt","Wert - Abzug")</f>
        <v>Wert - Abzug</v>
      </c>
      <c r="H21" s="66">
        <f>IF(A21="entfällt",0,IF(F21="",0,D21-F21))</f>
        <v>0</v>
      </c>
    </row>
    <row r="22" spans="1:8" outlineLevel="1" x14ac:dyDescent="0.35">
      <c r="A22" s="165" t="str">
        <f>IF(H2&gt;15,"entfällt","TBN")</f>
        <v>entfällt</v>
      </c>
      <c r="B22" s="166"/>
      <c r="C22" s="77"/>
      <c r="D22" s="78" t="str">
        <f ca="1">IF(C22="","",VLOOKUP(C22,INDIRECT($C$57),2,0))</f>
        <v/>
      </c>
      <c r="E22" s="78" t="str">
        <f ca="1">IF(C22="","",VLOOKUP(C22,INDIRECT($C$57),3,0))</f>
        <v/>
      </c>
      <c r="F22" s="42"/>
      <c r="G22" s="71" t="str">
        <f>IF(H2&gt;16,"entfällt","Wert - Abzug")</f>
        <v>Wert - Abzug</v>
      </c>
      <c r="H22" s="66">
        <f t="shared" ref="H22:H28" si="0">IF(A22="entfällt",0,IF(F22="",0,D22-F22))</f>
        <v>0</v>
      </c>
    </row>
    <row r="23" spans="1:8" outlineLevel="1" x14ac:dyDescent="0.35">
      <c r="A23" s="165" t="str">
        <f>IF(H2&gt;11,"entfällt","TBN")</f>
        <v>entfällt</v>
      </c>
      <c r="B23" s="166"/>
      <c r="C23" s="77"/>
      <c r="D23" s="78" t="str">
        <f ca="1">IF(C23="","",VLOOKUP(C23,INDIRECT($C$57),2,0))</f>
        <v/>
      </c>
      <c r="E23" s="78" t="str">
        <f ca="1">IF(C23="","",VLOOKUP(C23,INDIRECT($C$57),3,0))</f>
        <v/>
      </c>
      <c r="F23" s="42"/>
      <c r="G23" s="71" t="str">
        <f>IF(H2&gt;16,"entfällt","Wert - Abzug")</f>
        <v>Wert - Abzug</v>
      </c>
      <c r="H23" s="66">
        <f t="shared" si="0"/>
        <v>0</v>
      </c>
    </row>
    <row r="24" spans="1:8" outlineLevel="1" x14ac:dyDescent="0.35">
      <c r="A24" s="110" t="s">
        <v>147</v>
      </c>
      <c r="B24" s="111"/>
      <c r="C24" s="77" t="s">
        <v>185</v>
      </c>
      <c r="D24" s="78">
        <v>15</v>
      </c>
      <c r="E24" s="78">
        <v>6</v>
      </c>
      <c r="F24" s="42">
        <v>2</v>
      </c>
      <c r="G24" s="71" t="s">
        <v>146</v>
      </c>
      <c r="H24" s="66">
        <f t="shared" si="0"/>
        <v>13</v>
      </c>
    </row>
    <row r="25" spans="1:8" outlineLevel="1" x14ac:dyDescent="0.35">
      <c r="A25" s="110" t="s">
        <v>147</v>
      </c>
      <c r="B25" s="111"/>
      <c r="C25" s="77" t="s">
        <v>186</v>
      </c>
      <c r="D25" s="78">
        <v>14</v>
      </c>
      <c r="E25" s="78">
        <v>6</v>
      </c>
      <c r="F25" s="42">
        <v>4</v>
      </c>
      <c r="G25" s="71" t="s">
        <v>146</v>
      </c>
      <c r="H25" s="66">
        <f t="shared" si="0"/>
        <v>10</v>
      </c>
    </row>
    <row r="26" spans="1:8" outlineLevel="1" x14ac:dyDescent="0.35">
      <c r="A26" s="110" t="s">
        <v>147</v>
      </c>
      <c r="B26" s="111"/>
      <c r="C26" s="77" t="s">
        <v>189</v>
      </c>
      <c r="D26" s="78">
        <v>15</v>
      </c>
      <c r="E26" s="78">
        <v>6</v>
      </c>
      <c r="F26" s="42">
        <v>6</v>
      </c>
      <c r="G26" s="71" t="s">
        <v>146</v>
      </c>
      <c r="H26" s="66">
        <f t="shared" si="0"/>
        <v>9</v>
      </c>
    </row>
    <row r="27" spans="1:8" outlineLevel="1" x14ac:dyDescent="0.35">
      <c r="A27" s="110" t="str">
        <f>IF(H2&gt;11,"TN","entfällt")</f>
        <v>TN</v>
      </c>
      <c r="B27" s="111"/>
      <c r="C27" s="77"/>
      <c r="D27" s="78"/>
      <c r="E27" s="78"/>
      <c r="F27" s="42"/>
      <c r="G27" s="71" t="str">
        <f>IF(H2&gt;12,"Wert - Abzug","entfällt")</f>
        <v>Wert - Abzug</v>
      </c>
      <c r="H27" s="66">
        <f t="shared" si="0"/>
        <v>0</v>
      </c>
    </row>
    <row r="28" spans="1:8" outlineLevel="1" x14ac:dyDescent="0.35">
      <c r="A28" s="110" t="str">
        <f>IF(H2&gt;15,"TN","entfällt")</f>
        <v>TN</v>
      </c>
      <c r="B28" s="111"/>
      <c r="C28" s="77"/>
      <c r="D28" s="78"/>
      <c r="E28" s="78"/>
      <c r="F28" s="42"/>
      <c r="G28" s="71" t="str">
        <f>IF(H2&gt;16,"Wert - Abzug","entfällt")</f>
        <v>entfällt</v>
      </c>
      <c r="H28" s="66">
        <f t="shared" si="0"/>
        <v>0</v>
      </c>
    </row>
    <row r="29" spans="1:8" outlineLevel="1" x14ac:dyDescent="0.35">
      <c r="A29" s="110" t="str">
        <f>IF(H2&gt;15,"TN","entfällt")</f>
        <v>TN</v>
      </c>
      <c r="B29" s="111"/>
      <c r="C29" s="77"/>
      <c r="D29" s="78"/>
      <c r="E29" s="78"/>
      <c r="F29" s="42"/>
      <c r="G29" s="71" t="str">
        <f>IF(H2&gt;16,"Wert - Abzug","entfällt")</f>
        <v>entfällt</v>
      </c>
      <c r="H29" s="66">
        <f>IF(A29="entfällt",0,IF(F29="",0,D29-F29))</f>
        <v>0</v>
      </c>
    </row>
    <row r="30" spans="1:8" outlineLevel="1" x14ac:dyDescent="0.35">
      <c r="A30" s="165" t="str">
        <f>IF($H$2&gt;10,"Verbindung Sprung 1","entfällt")</f>
        <v>Verbindung Sprung 1</v>
      </c>
      <c r="B30" s="166"/>
      <c r="C30" s="40" t="s">
        <v>62</v>
      </c>
      <c r="D30" s="40">
        <v>15</v>
      </c>
      <c r="E30" s="40">
        <v>3</v>
      </c>
      <c r="F30" s="42">
        <v>2</v>
      </c>
      <c r="G30" s="71" t="str">
        <f>IF(H2&gt;12,"Wert - Abzug","entfällt")</f>
        <v>Wert - Abzug</v>
      </c>
      <c r="H30" s="66"/>
    </row>
    <row r="31" spans="1:8" outlineLevel="1" x14ac:dyDescent="0.35">
      <c r="A31" s="165" t="str">
        <f>IF($H$2&gt;10,"Verbindung Sprung 2","entfällt")</f>
        <v>Verbindung Sprung 2</v>
      </c>
      <c r="B31" s="166"/>
      <c r="C31" s="40" t="s">
        <v>246</v>
      </c>
      <c r="D31" s="40">
        <v>6</v>
      </c>
      <c r="E31" s="40">
        <v>3</v>
      </c>
      <c r="F31" s="42">
        <v>2</v>
      </c>
      <c r="G31" s="71" t="str">
        <f>IF(H2&gt;12,"Wert - Abzug","entfällt")</f>
        <v>Wert - Abzug</v>
      </c>
      <c r="H31" s="66"/>
    </row>
    <row r="32" spans="1:8" outlineLevel="1" x14ac:dyDescent="0.35">
      <c r="A32" s="165" t="str">
        <f>IF($H$2&gt;10,"Verbindung Sprung 3","entfällt")</f>
        <v>Verbindung Sprung 3</v>
      </c>
      <c r="B32" s="166"/>
      <c r="C32" s="40" t="s">
        <v>58</v>
      </c>
      <c r="D32" s="40">
        <v>13</v>
      </c>
      <c r="E32" s="40">
        <v>3</v>
      </c>
      <c r="F32" s="42">
        <v>2</v>
      </c>
      <c r="G32" s="71" t="str">
        <f>IF(H2&gt;12,"Wert - Abzug","entfällt")</f>
        <v>Wert - Abzug</v>
      </c>
      <c r="H32" s="66"/>
    </row>
    <row r="33" spans="1:8" outlineLevel="1" x14ac:dyDescent="0.35">
      <c r="A33" s="165" t="str">
        <f>IF($H$2&gt;10,"Verbindung Sprung 4","entfällt")</f>
        <v>Verbindung Sprung 4</v>
      </c>
      <c r="B33" s="166"/>
      <c r="C33" s="40" t="s">
        <v>49</v>
      </c>
      <c r="D33" s="40">
        <v>6</v>
      </c>
      <c r="E33" s="40">
        <v>3</v>
      </c>
      <c r="F33" s="42">
        <v>2</v>
      </c>
      <c r="G33" s="71" t="str">
        <f>IF(H2&gt;12,"Wert - Abzug","entfällt")</f>
        <v>Wert - Abzug</v>
      </c>
      <c r="H33" s="66"/>
    </row>
    <row r="34" spans="1:8" outlineLevel="1" x14ac:dyDescent="0.35">
      <c r="A34" s="165" t="str">
        <f>IF($H$2&gt;10,"Verbindung Sprung 5","entfällt")</f>
        <v>Verbindung Sprung 5</v>
      </c>
      <c r="B34" s="166"/>
      <c r="C34" s="40" t="s">
        <v>50</v>
      </c>
      <c r="D34" s="40">
        <v>6</v>
      </c>
      <c r="E34" s="40">
        <v>3</v>
      </c>
      <c r="F34" s="42">
        <v>2</v>
      </c>
      <c r="G34" s="71" t="str">
        <f>IF(H2&gt;12,"Wert - Abzug","entfällt")</f>
        <v>Wert - Abzug</v>
      </c>
      <c r="H34" s="66"/>
    </row>
    <row r="35" spans="1:8" ht="15" outlineLevel="1" thickBot="1" x14ac:dyDescent="0.4">
      <c r="A35" s="171" t="str">
        <f>IF($H$2&gt;10,"Verbindung Sprung 6","entfällt")</f>
        <v>Verbindung Sprung 6</v>
      </c>
      <c r="B35" s="172"/>
      <c r="C35" s="68" t="s">
        <v>60</v>
      </c>
      <c r="D35" s="68">
        <v>14</v>
      </c>
      <c r="E35" s="68">
        <v>3</v>
      </c>
      <c r="F35" s="69">
        <v>2</v>
      </c>
      <c r="G35" s="72" t="str">
        <f>IF(H2&gt;12,"Wert - Abzug","entfällt")</f>
        <v>Wert - Abzug</v>
      </c>
      <c r="H35" s="70">
        <f>30-F30-F31-F32-F33-F34-F35</f>
        <v>18</v>
      </c>
    </row>
    <row r="36" spans="1:8" ht="15" thickBot="1" x14ac:dyDescent="0.4">
      <c r="A36" s="173" t="s">
        <v>41</v>
      </c>
      <c r="B36" s="174"/>
      <c r="C36" s="174"/>
      <c r="D36" s="174"/>
      <c r="E36" s="174"/>
      <c r="F36" s="174"/>
      <c r="G36" s="175"/>
      <c r="H36" s="89">
        <f>SUM(H20:H35)</f>
        <v>60.050000000000011</v>
      </c>
    </row>
    <row r="37" spans="1:8" ht="15" outlineLevel="1" thickBot="1" x14ac:dyDescent="0.4">
      <c r="A37" s="181" t="s">
        <v>99</v>
      </c>
      <c r="B37" s="182"/>
      <c r="C37" s="182"/>
      <c r="D37" s="183"/>
      <c r="E37" s="85" t="s">
        <v>27</v>
      </c>
      <c r="F37" s="85" t="s">
        <v>237</v>
      </c>
      <c r="G37" s="86" t="s">
        <v>28</v>
      </c>
      <c r="H37" s="49" t="s">
        <v>234</v>
      </c>
    </row>
    <row r="38" spans="1:8" outlineLevel="1" x14ac:dyDescent="0.35">
      <c r="A38" s="179" t="str">
        <f ca="1">VLOOKUP(1,INDIRECT($C$65),2,0)</f>
        <v>Flugrolle mit Überstrecken mit Anlauf</v>
      </c>
      <c r="B38" s="180"/>
      <c r="C38" s="180"/>
      <c r="D38" s="180"/>
      <c r="E38" s="92">
        <f ca="1">VLOOKUP(1,INDIRECT($C$65),3,0)</f>
        <v>3</v>
      </c>
      <c r="F38" s="79">
        <v>0</v>
      </c>
      <c r="G38" s="80" t="s">
        <v>146</v>
      </c>
      <c r="H38" s="84">
        <f ca="1">IF(E38=" ","",IF(F38="",0,E38-F38))</f>
        <v>3</v>
      </c>
    </row>
    <row r="39" spans="1:8" outlineLevel="1" x14ac:dyDescent="0.35">
      <c r="A39" s="163" t="str">
        <f ca="1">VLOOKUP(2,INDIRECT($C$65),2,0)</f>
        <v>--&gt; Strecksprung, Salto vorwärts gehockt</v>
      </c>
      <c r="B39" s="164"/>
      <c r="C39" s="164"/>
      <c r="D39" s="164"/>
      <c r="E39" s="87">
        <f ca="1">VLOOKUP(2,INDIRECT($C$65),3,0)</f>
        <v>4.5</v>
      </c>
      <c r="F39" s="43">
        <v>0.5</v>
      </c>
      <c r="G39" s="81" t="s">
        <v>146</v>
      </c>
      <c r="H39" s="84">
        <f t="shared" ref="H39:H49" ca="1" si="1">IF(E39=" ","",IF(F39="",0,E39-F39))</f>
        <v>4</v>
      </c>
    </row>
    <row r="40" spans="1:8" outlineLevel="1" x14ac:dyDescent="0.35">
      <c r="A40" s="163" t="str">
        <f ca="1">VLOOKUP(3,INDIRECT($C$65),2,0)</f>
        <v>Vorspreizen, Handstand mit 1/1 Drehung, abrollen</v>
      </c>
      <c r="B40" s="164"/>
      <c r="C40" s="164"/>
      <c r="D40" s="164"/>
      <c r="E40" s="87">
        <f ca="1">VLOOKUP(3,INDIRECT($C$65),3,0)</f>
        <v>3</v>
      </c>
      <c r="F40" s="43">
        <v>0</v>
      </c>
      <c r="G40" s="81" t="s">
        <v>146</v>
      </c>
      <c r="H40" s="84">
        <f t="shared" ca="1" si="1"/>
        <v>3</v>
      </c>
    </row>
    <row r="41" spans="1:8" outlineLevel="1" x14ac:dyDescent="0.35">
      <c r="A41" s="163" t="str">
        <f ca="1">VLOOKUP(4,INDIRECT($C$65),2,0)</f>
        <v>--&gt; Aufstehen mit gestreckten Beinen</v>
      </c>
      <c r="B41" s="164"/>
      <c r="C41" s="164"/>
      <c r="D41" s="164"/>
      <c r="E41" s="87">
        <f ca="1">VLOOKUP(4,INDIRECT($C$65),3,0)</f>
        <v>3</v>
      </c>
      <c r="F41" s="43">
        <v>0</v>
      </c>
      <c r="G41" s="81" t="s">
        <v>146</v>
      </c>
      <c r="H41" s="84">
        <f t="shared" ca="1" si="1"/>
        <v>3</v>
      </c>
    </row>
    <row r="42" spans="1:8" outlineLevel="1" x14ac:dyDescent="0.35">
      <c r="A42" s="163" t="str">
        <f ca="1">VLOOKUP(5,INDIRECT($C$65),2,0)</f>
        <v>Vorspreizen, Bestellschritt, Strecksprung 3/2 Drehung</v>
      </c>
      <c r="B42" s="164"/>
      <c r="C42" s="164"/>
      <c r="D42" s="164"/>
      <c r="E42" s="87">
        <f ca="1">VLOOKUP(5,INDIRECT($C$65),3,0)</f>
        <v>3</v>
      </c>
      <c r="F42" s="43">
        <v>2</v>
      </c>
      <c r="G42" s="81" t="s">
        <v>146</v>
      </c>
      <c r="H42" s="84">
        <f t="shared" ca="1" si="1"/>
        <v>1</v>
      </c>
    </row>
    <row r="43" spans="1:8" outlineLevel="1" x14ac:dyDescent="0.35">
      <c r="A43" s="163" t="str">
        <f ca="1">VLOOKUP(6,INDIRECT($C$65),2,0)</f>
        <v>Salto rückwärts gehockt</v>
      </c>
      <c r="B43" s="164"/>
      <c r="C43" s="164"/>
      <c r="D43" s="164"/>
      <c r="E43" s="87">
        <f ca="1">VLOOKUP(6,INDIRECT($C$65),3,0)</f>
        <v>3</v>
      </c>
      <c r="F43" s="43">
        <v>0</v>
      </c>
      <c r="G43" s="81" t="s">
        <v>146</v>
      </c>
      <c r="H43" s="84">
        <f t="shared" ca="1" si="1"/>
        <v>3</v>
      </c>
    </row>
    <row r="44" spans="1:8" outlineLevel="1" x14ac:dyDescent="0.35">
      <c r="A44" s="163" t="str">
        <f ca="1">VLOOKUP(7,INDIRECT($C$65),2,0)</f>
        <v>Handstützüberschlag</v>
      </c>
      <c r="B44" s="164"/>
      <c r="C44" s="164"/>
      <c r="D44" s="164"/>
      <c r="E44" s="87">
        <f ca="1">VLOOKUP(7,INDIRECT($C$65),3,0)</f>
        <v>3</v>
      </c>
      <c r="F44" s="43">
        <v>0</v>
      </c>
      <c r="G44" s="81" t="s">
        <v>146</v>
      </c>
      <c r="H44" s="84">
        <f t="shared" ca="1" si="1"/>
        <v>3</v>
      </c>
    </row>
    <row r="45" spans="1:8" outlineLevel="1" x14ac:dyDescent="0.35">
      <c r="A45" s="163" t="str">
        <f ca="1">VLOOKUP(8,INDIRECT($C$65),2,0)</f>
        <v>--&gt; Ansprung Schrittstellung, Handstand mit zwei Hüpfern</v>
      </c>
      <c r="B45" s="164"/>
      <c r="C45" s="164"/>
      <c r="D45" s="164"/>
      <c r="E45" s="87">
        <f ca="1">VLOOKUP(8,INDIRECT($C$65),3,0)</f>
        <v>3</v>
      </c>
      <c r="F45" s="43">
        <v>0</v>
      </c>
      <c r="G45" s="81" t="s">
        <v>146</v>
      </c>
      <c r="H45" s="84">
        <f t="shared" ca="1" si="1"/>
        <v>3</v>
      </c>
    </row>
    <row r="46" spans="1:8" outlineLevel="1" x14ac:dyDescent="0.35">
      <c r="A46" s="163" t="str">
        <f ca="1">VLOOKUP(9,INDIRECT($C$65),2,0)</f>
        <v>Abrollen --&gt; Strecksprung 1/2 Drehung</v>
      </c>
      <c r="B46" s="164"/>
      <c r="C46" s="164"/>
      <c r="D46" s="164"/>
      <c r="E46" s="87">
        <f ca="1">VLOOKUP(9,INDIRECT($C$65),3,0)</f>
        <v>1.5</v>
      </c>
      <c r="F46" s="43">
        <v>0</v>
      </c>
      <c r="G46" s="81" t="str">
        <f>IF(H2&gt;16,"","Wert - Abzug")</f>
        <v>Wert - Abzug</v>
      </c>
      <c r="H46" s="84">
        <f t="shared" ca="1" si="1"/>
        <v>1.5</v>
      </c>
    </row>
    <row r="47" spans="1:8" outlineLevel="1" x14ac:dyDescent="0.35">
      <c r="A47" s="163" t="str">
        <f ca="1">VLOOKUP(10,INDIRECT($C$65),2,0)</f>
        <v>Salto vorwärts gebückt mit Anlauf</v>
      </c>
      <c r="B47" s="164"/>
      <c r="C47" s="164"/>
      <c r="D47" s="164"/>
      <c r="E47" s="87">
        <f ca="1">VLOOKUP(10,INDIRECT($C$65),3,0)</f>
        <v>3</v>
      </c>
      <c r="F47" s="43">
        <v>0</v>
      </c>
      <c r="G47" s="81" t="str">
        <f>IF(H2&gt;16,"","Wert - Abzug")</f>
        <v>Wert - Abzug</v>
      </c>
      <c r="H47" s="84">
        <f t="shared" ca="1" si="1"/>
        <v>3</v>
      </c>
    </row>
    <row r="48" spans="1:8" outlineLevel="1" x14ac:dyDescent="0.35">
      <c r="A48" s="163" t="str">
        <f ca="1">VLOOKUP(11,INDIRECT($C$65),2,0)</f>
        <v xml:space="preserve"> </v>
      </c>
      <c r="B48" s="164"/>
      <c r="C48" s="164"/>
      <c r="D48" s="164"/>
      <c r="E48" s="87" t="str">
        <f ca="1">VLOOKUP(11,INDIRECT($C$65),3,0)</f>
        <v xml:space="preserve"> </v>
      </c>
      <c r="F48" s="43"/>
      <c r="G48" s="81" t="str">
        <f>IF(H2&gt;13,"","Wert - Abzug")</f>
        <v/>
      </c>
      <c r="H48" s="84" t="str">
        <f t="shared" ca="1" si="1"/>
        <v/>
      </c>
    </row>
    <row r="49" spans="1:8" ht="15" outlineLevel="1" thickBot="1" x14ac:dyDescent="0.4">
      <c r="A49" s="184" t="str">
        <f ca="1">VLOOKUP(12,INDIRECT($C$65),2,0)</f>
        <v xml:space="preserve"> </v>
      </c>
      <c r="B49" s="185"/>
      <c r="C49" s="185"/>
      <c r="D49" s="185"/>
      <c r="E49" s="93" t="str">
        <f ca="1">VLOOKUP(12,INDIRECT($C$65),3,0)</f>
        <v xml:space="preserve"> </v>
      </c>
      <c r="F49" s="82"/>
      <c r="G49" s="83" t="str">
        <f>IF(OR(H2=9,H2=12,H2=13),"Wert - Abzug","")</f>
        <v/>
      </c>
      <c r="H49" s="84" t="str">
        <f t="shared" ca="1" si="1"/>
        <v/>
      </c>
    </row>
    <row r="50" spans="1:8" ht="15" thickBot="1" x14ac:dyDescent="0.4">
      <c r="A50" s="176" t="s">
        <v>98</v>
      </c>
      <c r="B50" s="177"/>
      <c r="C50" s="177"/>
      <c r="D50" s="177"/>
      <c r="E50" s="177"/>
      <c r="F50" s="177"/>
      <c r="G50" s="178"/>
      <c r="H50" s="44">
        <f ca="1">SUM(H38:H49)</f>
        <v>27.5</v>
      </c>
    </row>
    <row r="51" spans="1:8" ht="16" thickBot="1" x14ac:dyDescent="0.4">
      <c r="A51" s="169" t="s">
        <v>42</v>
      </c>
      <c r="B51" s="170"/>
      <c r="C51" s="170"/>
      <c r="D51" s="170"/>
      <c r="E51" s="170"/>
      <c r="F51" s="170"/>
      <c r="G51" s="170"/>
      <c r="H51" s="94">
        <f ca="1">SUM(H9,H18,H36,H50)</f>
        <v>182.55</v>
      </c>
    </row>
    <row r="52" spans="1:8" s="23" customFormat="1" x14ac:dyDescent="0.35">
      <c r="D52" s="50"/>
      <c r="E52" s="50"/>
      <c r="F52" s="50"/>
      <c r="G52" s="50"/>
    </row>
    <row r="53" spans="1:8" s="23" customFormat="1" hidden="1" x14ac:dyDescent="0.35">
      <c r="C53" s="24"/>
      <c r="D53" s="50"/>
      <c r="E53" s="50"/>
      <c r="F53" s="50"/>
      <c r="G53" s="50"/>
    </row>
    <row r="54" spans="1:8" s="23" customFormat="1" hidden="1" x14ac:dyDescent="0.35">
      <c r="B54" s="23" t="s">
        <v>249</v>
      </c>
      <c r="C54" s="23" t="str">
        <f>IF(H2&lt;13,"beide",F1)</f>
        <v>weiblich</v>
      </c>
      <c r="D54" s="50"/>
      <c r="E54" s="50"/>
      <c r="F54" s="50"/>
      <c r="G54" s="50"/>
    </row>
    <row r="55" spans="1:8" s="23" customFormat="1" hidden="1" x14ac:dyDescent="0.35">
      <c r="B55" s="23" t="s">
        <v>3</v>
      </c>
      <c r="C55" s="23" t="str">
        <f>IF(OR(H2=8,H2=11),H2,IF(H2&lt;11,"9_10",IF(H2&lt;14,"12_13",IF(H2&lt;16,"14_15",IF(H2&lt;18,"16_17",18)))))</f>
        <v>16_17</v>
      </c>
      <c r="D55" s="50"/>
      <c r="E55" s="50"/>
      <c r="F55" s="50"/>
      <c r="G55" s="50"/>
    </row>
    <row r="56" spans="1:8" s="23" customFormat="1" hidden="1" x14ac:dyDescent="0.35">
      <c r="D56" s="50"/>
      <c r="E56" s="50"/>
      <c r="F56" s="50"/>
      <c r="G56" s="50"/>
    </row>
    <row r="57" spans="1:8" s="23" customFormat="1" hidden="1" x14ac:dyDescent="0.35">
      <c r="B57" s="23" t="s">
        <v>251</v>
      </c>
      <c r="C57" s="23" t="str">
        <f>"TBN_"&amp;C54&amp;"_"&amp;C55</f>
        <v>TBN_weiblich_16_17</v>
      </c>
      <c r="D57" s="50"/>
      <c r="E57" s="50"/>
      <c r="F57" s="50"/>
      <c r="G57" s="50"/>
    </row>
    <row r="58" spans="1:8" s="23" customFormat="1" hidden="1" x14ac:dyDescent="0.35">
      <c r="C58" s="23" t="str">
        <f>C57&amp;"[Beschreibung]"</f>
        <v>TBN_weiblich_16_17[Beschreibung]</v>
      </c>
      <c r="D58" s="50"/>
      <c r="E58" s="50"/>
      <c r="F58" s="50"/>
      <c r="G58" s="50"/>
    </row>
    <row r="59" spans="1:8" s="23" customFormat="1" hidden="1" x14ac:dyDescent="0.35">
      <c r="D59" s="50"/>
      <c r="E59" s="50"/>
      <c r="F59" s="50"/>
      <c r="G59" s="50"/>
    </row>
    <row r="60" spans="1:8" s="23" customFormat="1" hidden="1" x14ac:dyDescent="0.35">
      <c r="B60" s="23" t="s">
        <v>147</v>
      </c>
      <c r="C60" s="23" t="str">
        <f>"TN_"&amp;C54&amp;"_"&amp;C55</f>
        <v>TN_weiblich_16_17</v>
      </c>
      <c r="D60" s="50"/>
      <c r="E60" s="50"/>
      <c r="F60" s="50"/>
      <c r="G60" s="50"/>
    </row>
    <row r="61" spans="1:8" s="23" customFormat="1" hidden="1" x14ac:dyDescent="0.35">
      <c r="C61" s="23" t="str">
        <f>C60&amp;"[Beschreibung]"</f>
        <v>TN_weiblich_16_17[Beschreibung]</v>
      </c>
      <c r="D61" s="50"/>
      <c r="E61" s="50"/>
      <c r="F61" s="50"/>
      <c r="G61" s="50"/>
    </row>
    <row r="62" spans="1:8" s="23" customFormat="1" hidden="1" x14ac:dyDescent="0.35">
      <c r="D62" s="50"/>
      <c r="E62" s="50"/>
      <c r="F62" s="50"/>
      <c r="G62" s="50"/>
    </row>
    <row r="63" spans="1:8" s="23" customFormat="1" hidden="1" x14ac:dyDescent="0.35">
      <c r="B63" s="23" t="s">
        <v>17</v>
      </c>
      <c r="C63" s="23" t="str">
        <f>"TV_"&amp;F1&amp;"_"&amp;C55</f>
        <v>TV_weiblich_16_17</v>
      </c>
      <c r="D63" s="50"/>
      <c r="E63" s="50"/>
      <c r="F63" s="50"/>
      <c r="G63" s="50"/>
    </row>
    <row r="64" spans="1:8" s="23" customFormat="1" hidden="1" x14ac:dyDescent="0.35">
      <c r="D64" s="50"/>
      <c r="E64" s="50"/>
      <c r="F64" s="50"/>
      <c r="G64" s="50"/>
    </row>
    <row r="65" spans="2:7" s="23" customFormat="1" hidden="1" x14ac:dyDescent="0.35">
      <c r="B65" s="23" t="s">
        <v>252</v>
      </c>
      <c r="C65" s="23" t="str">
        <f>"BKÜ"&amp;IF(H2=9,"_9",IF(H2&lt;12,"_10_11",IF(H2&lt;14,"_12_13",IF(H2&lt;17,"_14_16","_17"))))</f>
        <v>BKÜ_14_16</v>
      </c>
      <c r="D65" s="50"/>
      <c r="E65" s="50"/>
      <c r="F65" s="50"/>
      <c r="G65" s="50"/>
    </row>
    <row r="66" spans="2:7" s="23" customFormat="1" hidden="1" x14ac:dyDescent="0.35">
      <c r="D66" s="50"/>
      <c r="E66" s="50"/>
      <c r="F66" s="50"/>
      <c r="G66" s="50"/>
    </row>
    <row r="67" spans="2:7" s="23" customFormat="1" hidden="1" x14ac:dyDescent="0.35">
      <c r="B67" s="23" t="s">
        <v>250</v>
      </c>
      <c r="C67" s="23" t="str">
        <f>IF(H2&lt;17,"beide",F1)</f>
        <v>beide</v>
      </c>
      <c r="D67" s="50"/>
      <c r="E67" s="50"/>
      <c r="F67" s="50"/>
      <c r="G67" s="50"/>
    </row>
    <row r="68" spans="2:7" s="23" customFormat="1" hidden="1" x14ac:dyDescent="0.35">
      <c r="B68" s="23" t="s">
        <v>17</v>
      </c>
      <c r="C68" s="23" t="str">
        <f>"TV_"&amp;C67&amp;"_"&amp;C55</f>
        <v>TV_beide_16_17</v>
      </c>
      <c r="D68" s="50"/>
      <c r="E68" s="50"/>
      <c r="F68" s="50"/>
      <c r="G68" s="50"/>
    </row>
    <row r="69" spans="2:7" x14ac:dyDescent="0.35"/>
    <row r="70" spans="2:7" x14ac:dyDescent="0.35"/>
  </sheetData>
  <sheetProtection selectLockedCells="1"/>
  <protectedRanges>
    <protectedRange sqref="H1:H2 F1:F2 B1:B2" name="Athletendaten"/>
    <protectedRange sqref="F38:F49 C20:F35 D69:E440 C69:C441 F4:F8 C38:E68 C11:E16 F11:F17" name="Werte und Varianten"/>
    <protectedRange algorithmName="SHA-512" hashValue="EtPG7jm6pk6JVG08ToKZL4Sto4PS6TOUsygvFmj6DTfcGnX6DwKdfjTEg/2X1Hwnu/CwfNhBUSnXKs/oLqcupQ==" saltValue="sPse4fdTsI5OFESYvRIl8Q==" spinCount="100000" sqref="H4:H8 H38:H49 H20:H35 H11:H17" name="Punktzahlen"/>
  </protectedRanges>
  <mergeCells count="44">
    <mergeCell ref="A12:E12"/>
    <mergeCell ref="B1:E1"/>
    <mergeCell ref="B2:F2"/>
    <mergeCell ref="A3:E3"/>
    <mergeCell ref="A4:E4"/>
    <mergeCell ref="A5:E5"/>
    <mergeCell ref="A6:E6"/>
    <mergeCell ref="A7:E7"/>
    <mergeCell ref="A8:E8"/>
    <mergeCell ref="A9:G9"/>
    <mergeCell ref="A10:E10"/>
    <mergeCell ref="A11:E11"/>
    <mergeCell ref="A31:B31"/>
    <mergeCell ref="A13:E13"/>
    <mergeCell ref="A14:E14"/>
    <mergeCell ref="A15:E15"/>
    <mergeCell ref="A16:E16"/>
    <mergeCell ref="A18:G18"/>
    <mergeCell ref="A19:C19"/>
    <mergeCell ref="A20:B20"/>
    <mergeCell ref="A21:B21"/>
    <mergeCell ref="A22:B22"/>
    <mergeCell ref="A23:B23"/>
    <mergeCell ref="A30:B30"/>
    <mergeCell ref="A43:D43"/>
    <mergeCell ref="A32:B32"/>
    <mergeCell ref="A33:B33"/>
    <mergeCell ref="A34:B34"/>
    <mergeCell ref="A35:B35"/>
    <mergeCell ref="A36:G36"/>
    <mergeCell ref="A37:D37"/>
    <mergeCell ref="A38:D38"/>
    <mergeCell ref="A39:D39"/>
    <mergeCell ref="A40:D40"/>
    <mergeCell ref="A41:D41"/>
    <mergeCell ref="A42:D42"/>
    <mergeCell ref="A50:G50"/>
    <mergeCell ref="A51:G51"/>
    <mergeCell ref="A44:D44"/>
    <mergeCell ref="A45:D45"/>
    <mergeCell ref="A46:D46"/>
    <mergeCell ref="A47:D47"/>
    <mergeCell ref="A48:D48"/>
    <mergeCell ref="A49:D49"/>
  </mergeCells>
  <conditionalFormatting sqref="F46:F49">
    <cfRule type="expression" dxfId="255" priority="3">
      <formula>$A46=" "</formula>
    </cfRule>
  </conditionalFormatting>
  <conditionalFormatting sqref="B24:B29 C21:E29">
    <cfRule type="expression" dxfId="254" priority="2">
      <formula>$A21="entfällt"</formula>
    </cfRule>
    <cfRule type="expression" dxfId="253" priority="4">
      <formula>$H$2&gt;14</formula>
    </cfRule>
  </conditionalFormatting>
  <conditionalFormatting sqref="B24:B29">
    <cfRule type="expression" dxfId="252" priority="1">
      <formula>AND($A24="TN",$C24&lt;&gt;"")</formula>
    </cfRule>
  </conditionalFormatting>
  <dataValidations count="19">
    <dataValidation type="decimal" errorStyle="warning" allowBlank="1" showInputMessage="1" showErrorMessage="1" error="Eingegebener Abzug überschreitet maximal zulässigen Abzug, Wert bitte überprüfen!" sqref="F21:F35" xr:uid="{8C81BB29-281D-4FE3-9B7B-D082BB3EAA04}">
      <formula1>0</formula1>
      <formula2>$E21</formula2>
    </dataValidation>
    <dataValidation type="list" allowBlank="1" showInputMessage="1" showErrorMessage="1" sqref="C20" xr:uid="{FF5BC405-38FE-4BE8-80E5-AF8999A2780F}">
      <formula1>"Lichtschranke,Druckmessplatte"</formula1>
    </dataValidation>
    <dataValidation type="whole" allowBlank="1" showInputMessage="1" showErrorMessage="1" errorTitle="Falsche Eingabe" error="Bitte Wert prüfen" sqref="D17" xr:uid="{57CB0051-052A-4E6B-95A5-A74ABFA5E27A}">
      <formula1>1</formula1>
      <formula2>13</formula2>
    </dataValidation>
    <dataValidation type="list" allowBlank="1" showInputMessage="1" sqref="C24:C29" xr:uid="{D42DBCA4-FEEC-4429-A5F5-11599D49B441}">
      <formula1>INDIRECT($C$61)</formula1>
    </dataValidation>
    <dataValidation type="list" allowBlank="1" showInputMessage="1" sqref="C21:C23" xr:uid="{EE3576A4-5E64-43EB-AC24-0F6DE3F46E3D}">
      <formula1>INDIRECT($C$58)</formula1>
    </dataValidation>
    <dataValidation allowBlank="1" showInputMessage="1" showErrorMessage="1" prompt="Anzahl der Wiederholungen" sqref="F11" xr:uid="{F949CF4C-9A2C-4FEE-B9B1-2EC6E678DAB9}"/>
    <dataValidation type="whole" allowBlank="1" showInputMessage="1" showErrorMessage="1" prompt="Abstand von der Oberkante des Turnhockers zur schlechtesten Fingerspitze in cm" sqref="F6" xr:uid="{9AAABBD9-E0A0-44AB-9782-6415D635432F}">
      <formula1>-50</formula1>
      <formula2>50</formula2>
    </dataValidation>
    <dataValidation type="list" allowBlank="1" showInputMessage="1" showErrorMessage="1" prompt="Punktzahl nach Vergleich mit Bild" sqref="F5" xr:uid="{2847E323-32EB-4CE4-98C4-94926705EBFE}">
      <formula1>"0,2,6,10"</formula1>
    </dataValidation>
    <dataValidation type="whole" allowBlank="1" showErrorMessage="1" errorTitle="Falsche Eingabe" error="Bitte Wert prüfen" prompt="Höchste erreichte Stufe" sqref="F17" xr:uid="{13EC61B2-3AB7-4A9A-9BA4-AE737CA57C02}">
      <formula1>1</formula1>
      <formula2>11</formula2>
    </dataValidation>
    <dataValidation allowBlank="1" sqref="D20:E20" xr:uid="{686BBA33-175B-493D-98DF-9789CB32A50C}"/>
    <dataValidation type="decimal" errorStyle="warning" allowBlank="1" showInputMessage="1" showErrorMessage="1" error="Abzug höher als Wert des Elements, bitte überprüfen!" prompt="Abzug" sqref="F38:F49" xr:uid="{B9DA49D1-4A3A-4211-AC2E-11E9F816BC6A}">
      <formula1>0</formula1>
      <formula2>$E38</formula2>
    </dataValidation>
    <dataValidation type="whole" allowBlank="1" showInputMessage="1" showErrorMessage="1" prompt="AKs 9 - 13: Übersprungene Kästchen_x000a__x000a_AKs 14 - 21: Anzahl Saltos" sqref="F15" xr:uid="{65117ECD-77F1-443C-A6FE-89749464B1C1}">
      <formula1>0</formula1>
      <formula2>50</formula2>
    </dataValidation>
    <dataValidation type="list" allowBlank="1" showInputMessage="1" showErrorMessage="1" sqref="F1" xr:uid="{325EBC53-0229-49A4-B517-62B02199DE66}">
      <formula1>"männlich,weiblich"</formula1>
    </dataValidation>
    <dataValidation type="whole" allowBlank="1" showInputMessage="1" showErrorMessage="1" sqref="H4:H8" xr:uid="{5E1712BD-7172-43B8-8902-1C8FD0FA6B35}">
      <formula1>0</formula1>
      <formula2>10</formula2>
    </dataValidation>
    <dataValidation type="whole" allowBlank="1" showInputMessage="1" showErrorMessage="1" prompt="Haltezeit in Sekunden" sqref="F13" xr:uid="{0B3F6200-EBCF-4B6A-8AA6-42BEBD04EE0C}">
      <formula1>0</formula1>
      <formula2>200</formula2>
    </dataValidation>
    <dataValidation type="whole" allowBlank="1" showInputMessage="1" showErrorMessage="1" prompt="Haltezeit in Sekunden" sqref="F16" xr:uid="{395C1F35-4B2A-42F7-9FA6-C0A99DA3413E}">
      <formula1>0</formula1>
      <formula2>100</formula2>
    </dataValidation>
    <dataValidation type="whole" allowBlank="1" showInputMessage="1" showErrorMessage="1" prompt="Anzahl der Wiederholungen" sqref="F14 F12" xr:uid="{5F1DD5FC-90EB-4B1F-BC7E-765CA946C8CF}">
      <formula1>0</formula1>
      <formula2>50</formula2>
    </dataValidation>
    <dataValidation type="list" operator="equal" allowBlank="1" showInputMessage="1" showErrorMessage="1" prompt="Punktzahl nach Vergleich mit Bild" sqref="F4" xr:uid="{67D021F5-C5FA-410F-8D1E-2A77B61C358B}">
      <formula1>"0,2,6,10"</formula1>
    </dataValidation>
    <dataValidation type="decimal" errorStyle="warning" showDropDown="1" showErrorMessage="1" error="Wert unrealistisch hoch, bitte Eingabe überprüfen" promptTitle="Vorsicht" sqref="F20" xr:uid="{872BCB38-6237-499E-B217-053CA5EF5BEC}">
      <formula1>0</formula1>
      <formula2>30</formula2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Bitte Werte aus Dropdown auswählen" prompt="Abstand vom Boden laut Schablone" xr:uid="{B776077E-5A27-4EA3-B60F-AA4AFE995EFD}">
          <x14:formula1>
            <xm:f>Punktetabellen!$A$3:$A$6</xm:f>
          </x14:formula1>
          <xm:sqref>F7:F8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695CF-5D1B-4F32-9EC0-CE1D3BC1FF1C}">
  <sheetPr codeName="Tabelle32">
    <tabColor indexed="47"/>
    <pageSetUpPr fitToPage="1"/>
  </sheetPr>
  <dimension ref="A1:J70"/>
  <sheetViews>
    <sheetView zoomScale="85" zoomScaleNormal="85" workbookViewId="0">
      <pane ySplit="2" topLeftCell="A9" activePane="bottomLeft" state="frozen"/>
      <selection sqref="A1:H1"/>
      <selection pane="bottomLeft" activeCell="D19" sqref="D19"/>
    </sheetView>
  </sheetViews>
  <sheetFormatPr baseColWidth="10" defaultColWidth="0" defaultRowHeight="14.5" zeroHeight="1" outlineLevelRow="1" x14ac:dyDescent="0.35"/>
  <cols>
    <col min="1" max="1" width="11.453125" customWidth="1"/>
    <col min="2" max="2" width="12.1796875" customWidth="1"/>
    <col min="3" max="3" width="44.81640625" bestFit="1" customWidth="1"/>
    <col min="4" max="5" width="11.453125" style="154" customWidth="1"/>
    <col min="6" max="6" width="16.1796875" style="154" bestFit="1" customWidth="1"/>
    <col min="7" max="7" width="13.81640625" style="154" customWidth="1"/>
    <col min="8" max="8" width="11.453125" customWidth="1"/>
    <col min="9" max="9" width="6.1796875" style="23" hidden="1" customWidth="1"/>
    <col min="10" max="10" width="0" hidden="1" customWidth="1"/>
    <col min="11" max="16384" width="11.453125" hidden="1"/>
  </cols>
  <sheetData>
    <row r="1" spans="1:8" ht="15.5" x14ac:dyDescent="0.35">
      <c r="A1" s="16" t="s">
        <v>1</v>
      </c>
      <c r="B1" s="186" t="s">
        <v>405</v>
      </c>
      <c r="C1" s="187"/>
      <c r="D1" s="187"/>
      <c r="E1" s="188"/>
      <c r="F1" s="51" t="s">
        <v>97</v>
      </c>
      <c r="G1" s="61" t="s">
        <v>24</v>
      </c>
      <c r="H1" s="63">
        <v>2006</v>
      </c>
    </row>
    <row r="2" spans="1:8" ht="16" thickBot="1" x14ac:dyDescent="0.4">
      <c r="A2" s="17" t="s">
        <v>4</v>
      </c>
      <c r="B2" s="198" t="s">
        <v>390</v>
      </c>
      <c r="C2" s="199"/>
      <c r="D2" s="199"/>
      <c r="E2" s="199"/>
      <c r="F2" s="200"/>
      <c r="G2" s="62" t="s">
        <v>3</v>
      </c>
      <c r="H2" s="64">
        <f>2022-H1</f>
        <v>16</v>
      </c>
    </row>
    <row r="3" spans="1:8" ht="15" outlineLevel="1" thickBot="1" x14ac:dyDescent="0.4">
      <c r="A3" s="189" t="s">
        <v>26</v>
      </c>
      <c r="B3" s="190"/>
      <c r="C3" s="190"/>
      <c r="D3" s="190"/>
      <c r="E3" s="191"/>
      <c r="F3" s="46" t="s">
        <v>27</v>
      </c>
      <c r="G3" s="47" t="s">
        <v>28</v>
      </c>
      <c r="H3" s="22" t="s">
        <v>234</v>
      </c>
    </row>
    <row r="4" spans="1:8" outlineLevel="1" x14ac:dyDescent="0.35">
      <c r="A4" s="192" t="s">
        <v>30</v>
      </c>
      <c r="B4" s="193"/>
      <c r="C4" s="193"/>
      <c r="D4" s="193"/>
      <c r="E4" s="194"/>
      <c r="F4" s="25">
        <v>10</v>
      </c>
      <c r="G4" s="55" t="s">
        <v>32</v>
      </c>
      <c r="H4" s="34">
        <f>F4</f>
        <v>10</v>
      </c>
    </row>
    <row r="5" spans="1:8" outlineLevel="1" x14ac:dyDescent="0.35">
      <c r="A5" s="195" t="s">
        <v>85</v>
      </c>
      <c r="B5" s="196"/>
      <c r="C5" s="196"/>
      <c r="D5" s="196"/>
      <c r="E5" s="197"/>
      <c r="F5" s="14">
        <v>10</v>
      </c>
      <c r="G5" s="56" t="s">
        <v>32</v>
      </c>
      <c r="H5" s="35">
        <f>F5</f>
        <v>10</v>
      </c>
    </row>
    <row r="6" spans="1:8" outlineLevel="1" x14ac:dyDescent="0.35">
      <c r="A6" s="195" t="s">
        <v>33</v>
      </c>
      <c r="B6" s="196"/>
      <c r="C6" s="196"/>
      <c r="D6" s="196"/>
      <c r="E6" s="197"/>
      <c r="F6" s="14">
        <v>20</v>
      </c>
      <c r="G6" s="56" t="s">
        <v>31</v>
      </c>
      <c r="H6" s="35">
        <f>IF(F6="",0,VLOOKUP(F6,Punktetabellen!A10:B15,2,1))</f>
        <v>10</v>
      </c>
    </row>
    <row r="7" spans="1:8" outlineLevel="1" x14ac:dyDescent="0.35">
      <c r="A7" s="195" t="s">
        <v>34</v>
      </c>
      <c r="B7" s="196"/>
      <c r="C7" s="196"/>
      <c r="D7" s="196"/>
      <c r="E7" s="197"/>
      <c r="F7" s="14">
        <v>0</v>
      </c>
      <c r="G7" s="56" t="s">
        <v>31</v>
      </c>
      <c r="H7" s="35">
        <f>IF(F7="",0,VLOOKUP(F7,Punktetabellen!A3:B6,2,0))</f>
        <v>5</v>
      </c>
    </row>
    <row r="8" spans="1:8" ht="15" outlineLevel="1" thickBot="1" x14ac:dyDescent="0.4">
      <c r="A8" s="204" t="s">
        <v>35</v>
      </c>
      <c r="B8" s="205"/>
      <c r="C8" s="205"/>
      <c r="D8" s="205"/>
      <c r="E8" s="206"/>
      <c r="F8" s="41">
        <v>0</v>
      </c>
      <c r="G8" s="57" t="s">
        <v>31</v>
      </c>
      <c r="H8" s="36">
        <f>IF(F8="",0,VLOOKUP(F8,Punktetabellen!A3:B6,2,0))</f>
        <v>5</v>
      </c>
    </row>
    <row r="9" spans="1:8" ht="15" thickBot="1" x14ac:dyDescent="0.4">
      <c r="A9" s="210" t="s">
        <v>36</v>
      </c>
      <c r="B9" s="211"/>
      <c r="C9" s="211"/>
      <c r="D9" s="211"/>
      <c r="E9" s="211"/>
      <c r="F9" s="211"/>
      <c r="G9" s="211"/>
      <c r="H9" s="48">
        <f>SUM(H4:H8)</f>
        <v>40</v>
      </c>
    </row>
    <row r="10" spans="1:8" ht="15" outlineLevel="1" thickBot="1" x14ac:dyDescent="0.4">
      <c r="A10" s="189" t="s">
        <v>26</v>
      </c>
      <c r="B10" s="190"/>
      <c r="C10" s="190"/>
      <c r="D10" s="190"/>
      <c r="E10" s="191"/>
      <c r="F10" s="46" t="s">
        <v>27</v>
      </c>
      <c r="G10" s="47" t="s">
        <v>28</v>
      </c>
      <c r="H10" s="22" t="s">
        <v>234</v>
      </c>
    </row>
    <row r="11" spans="1:8" outlineLevel="1" x14ac:dyDescent="0.35">
      <c r="A11" s="207" t="s">
        <v>37</v>
      </c>
      <c r="B11" s="208"/>
      <c r="C11" s="208"/>
      <c r="D11" s="208"/>
      <c r="E11" s="209"/>
      <c r="F11" s="26">
        <v>7</v>
      </c>
      <c r="G11" s="58" t="s">
        <v>31</v>
      </c>
      <c r="H11" s="37">
        <f>IF($F11="",0,VLOOKUP($F11,Pkte_Klimmzug[],$H$2,1))</f>
        <v>4</v>
      </c>
    </row>
    <row r="12" spans="1:8" outlineLevel="1" x14ac:dyDescent="0.35">
      <c r="A12" s="201" t="s">
        <v>38</v>
      </c>
      <c r="B12" s="202"/>
      <c r="C12" s="202"/>
      <c r="D12" s="202"/>
      <c r="E12" s="203"/>
      <c r="F12" s="27">
        <v>2</v>
      </c>
      <c r="G12" s="59" t="s">
        <v>31</v>
      </c>
      <c r="H12" s="38">
        <f>IF($F12="",0,VLOOKUP($F12,Pkte_Beinheben[],$H$2,1))</f>
        <v>1</v>
      </c>
    </row>
    <row r="13" spans="1:8" outlineLevel="1" x14ac:dyDescent="0.35">
      <c r="A13" s="201" t="s">
        <v>88</v>
      </c>
      <c r="B13" s="202"/>
      <c r="C13" s="202"/>
      <c r="D13" s="202"/>
      <c r="E13" s="203"/>
      <c r="F13" s="27">
        <v>105</v>
      </c>
      <c r="G13" s="59" t="s">
        <v>31</v>
      </c>
      <c r="H13" s="38">
        <f>IF($F13="",0,VLOOKUP($F13,Pkte_Flieger[],$H$2,1))</f>
        <v>9</v>
      </c>
    </row>
    <row r="14" spans="1:8" outlineLevel="1" x14ac:dyDescent="0.35">
      <c r="A14" s="201" t="s">
        <v>39</v>
      </c>
      <c r="B14" s="202"/>
      <c r="C14" s="202"/>
      <c r="D14" s="202"/>
      <c r="E14" s="203"/>
      <c r="F14" s="27">
        <v>29</v>
      </c>
      <c r="G14" s="59" t="s">
        <v>31</v>
      </c>
      <c r="H14" s="38">
        <f>IF($F14="",0,VLOOKUP($F14,Pkte_Rollenverbindung[],$H$2,1))</f>
        <v>10</v>
      </c>
    </row>
    <row r="15" spans="1:8" outlineLevel="1" x14ac:dyDescent="0.35">
      <c r="A15" s="201" t="s">
        <v>89</v>
      </c>
      <c r="B15" s="202"/>
      <c r="C15" s="202"/>
      <c r="D15" s="202"/>
      <c r="E15" s="203"/>
      <c r="F15" s="27">
        <v>9</v>
      </c>
      <c r="G15" s="59" t="s">
        <v>31</v>
      </c>
      <c r="H15" s="38">
        <f>IF($F15="",0,VLOOKUP($F15,Pkte_Prellsprung[],$H$2,1))</f>
        <v>9</v>
      </c>
    </row>
    <row r="16" spans="1:8" outlineLevel="1" x14ac:dyDescent="0.35">
      <c r="A16" s="201" t="s">
        <v>90</v>
      </c>
      <c r="B16" s="202"/>
      <c r="C16" s="202"/>
      <c r="D16" s="202"/>
      <c r="E16" s="203"/>
      <c r="F16" s="28">
        <v>30</v>
      </c>
      <c r="G16" s="59" t="s">
        <v>31</v>
      </c>
      <c r="H16" s="38">
        <f>IF($F16="",0,VLOOKUP($F16,Pkte_Handstand[],$H$2,1))</f>
        <v>10</v>
      </c>
    </row>
    <row r="17" spans="1:8" ht="15" outlineLevel="1" thickBot="1" x14ac:dyDescent="0.4">
      <c r="A17" s="112" t="s">
        <v>93</v>
      </c>
      <c r="B17" s="113"/>
      <c r="C17" s="114" t="s">
        <v>269</v>
      </c>
      <c r="D17" s="29">
        <v>8</v>
      </c>
      <c r="E17" s="115" t="s">
        <v>270</v>
      </c>
      <c r="F17" s="29">
        <v>1</v>
      </c>
      <c r="G17" s="60" t="s">
        <v>31</v>
      </c>
      <c r="H17" s="39">
        <f>IF($F17="",0,IF($F$1="weiblich",VLOOKUP((100*$D17+$F17),Pkte_Shuttle_W[],$H$2,1),VLOOKUP((100*$D17+$F17),Pkte_Shuttle_M[],$H$2,1)))</f>
        <v>6</v>
      </c>
    </row>
    <row r="18" spans="1:8" ht="15" thickBot="1" x14ac:dyDescent="0.4">
      <c r="A18" s="161" t="s">
        <v>40</v>
      </c>
      <c r="B18" s="162"/>
      <c r="C18" s="162"/>
      <c r="D18" s="162"/>
      <c r="E18" s="162"/>
      <c r="F18" s="162"/>
      <c r="G18" s="162"/>
      <c r="H18" s="48">
        <f>SUM(H11:H17)</f>
        <v>49</v>
      </c>
    </row>
    <row r="19" spans="1:8" ht="15" outlineLevel="1" thickBot="1" x14ac:dyDescent="0.4">
      <c r="A19" s="159" t="s">
        <v>26</v>
      </c>
      <c r="B19" s="160"/>
      <c r="C19" s="160"/>
      <c r="D19" s="85" t="s">
        <v>235</v>
      </c>
      <c r="E19" s="85" t="s">
        <v>238</v>
      </c>
      <c r="F19" s="85" t="s">
        <v>236</v>
      </c>
      <c r="G19" s="86" t="s">
        <v>28</v>
      </c>
      <c r="H19" s="49" t="s">
        <v>234</v>
      </c>
    </row>
    <row r="20" spans="1:8" outlineLevel="1" x14ac:dyDescent="0.35">
      <c r="A20" s="167" t="s">
        <v>148</v>
      </c>
      <c r="B20" s="168"/>
      <c r="C20" s="116" t="s">
        <v>277</v>
      </c>
      <c r="D20" s="90">
        <f>IF(F1="männlich",VLOOKUP(H2,Standsprünge!A3:C15,3,0),VLOOKUP(H2,Standsprünge!A3:B15,2,0))+IF(C20="Druckmessplatte",0)</f>
        <v>15.9</v>
      </c>
      <c r="E20" s="90"/>
      <c r="F20" s="67">
        <v>16.605</v>
      </c>
      <c r="G20" s="91" t="s">
        <v>149</v>
      </c>
      <c r="H20" s="88">
        <f>IF(F20="",0,(F20-D20)*10)</f>
        <v>7.0500000000000007</v>
      </c>
    </row>
    <row r="21" spans="1:8" outlineLevel="1" x14ac:dyDescent="0.35">
      <c r="A21" s="165" t="str">
        <f>IF(H2&gt;15,"entfällt","TBN")</f>
        <v>entfällt</v>
      </c>
      <c r="B21" s="166"/>
      <c r="C21" s="77"/>
      <c r="D21" s="78" t="str">
        <f ca="1">IF(C21="","",VLOOKUP(C21,INDIRECT($C$57),2,0))</f>
        <v/>
      </c>
      <c r="E21" s="78" t="str">
        <f ca="1">IF(C21="","",VLOOKUP(C21,INDIRECT($C$57),3,0))</f>
        <v/>
      </c>
      <c r="F21" s="42"/>
      <c r="G21" s="71" t="str">
        <f>IF(H2&gt;16,"entfällt","Wert - Abzug")</f>
        <v>Wert - Abzug</v>
      </c>
      <c r="H21" s="66">
        <f>IF(A21="entfällt",0,IF(F21="",0,D21-F21))</f>
        <v>0</v>
      </c>
    </row>
    <row r="22" spans="1:8" outlineLevel="1" x14ac:dyDescent="0.35">
      <c r="A22" s="165" t="str">
        <f>IF(H2&gt;15,"entfällt","TBN")</f>
        <v>entfällt</v>
      </c>
      <c r="B22" s="166"/>
      <c r="C22" s="77"/>
      <c r="D22" s="78" t="str">
        <f ca="1">IF(C22="","",VLOOKUP(C22,INDIRECT($C$57),2,0))</f>
        <v/>
      </c>
      <c r="E22" s="78" t="str">
        <f ca="1">IF(C22="","",VLOOKUP(C22,INDIRECT($C$57),3,0))</f>
        <v/>
      </c>
      <c r="F22" s="42"/>
      <c r="G22" s="71" t="str">
        <f>IF(H2&gt;16,"entfällt","Wert - Abzug")</f>
        <v>Wert - Abzug</v>
      </c>
      <c r="H22" s="66">
        <f t="shared" ref="H22:H28" si="0">IF(A22="entfällt",0,IF(F22="",0,D22-F22))</f>
        <v>0</v>
      </c>
    </row>
    <row r="23" spans="1:8" outlineLevel="1" x14ac:dyDescent="0.35">
      <c r="A23" s="165" t="str">
        <f>IF(H2&gt;11,"entfällt","TBN")</f>
        <v>entfällt</v>
      </c>
      <c r="B23" s="166"/>
      <c r="C23" s="77"/>
      <c r="D23" s="78" t="str">
        <f ca="1">IF(C23="","",VLOOKUP(C23,INDIRECT($C$57),2,0))</f>
        <v/>
      </c>
      <c r="E23" s="78" t="str">
        <f ca="1">IF(C23="","",VLOOKUP(C23,INDIRECT($C$57),3,0))</f>
        <v/>
      </c>
      <c r="F23" s="42"/>
      <c r="G23" s="71" t="str">
        <f>IF(H2&gt;16,"entfällt","Wert - Abzug")</f>
        <v>Wert - Abzug</v>
      </c>
      <c r="H23" s="66">
        <f t="shared" si="0"/>
        <v>0</v>
      </c>
    </row>
    <row r="24" spans="1:8" outlineLevel="1" x14ac:dyDescent="0.35">
      <c r="A24" s="110" t="s">
        <v>147</v>
      </c>
      <c r="B24" s="111"/>
      <c r="C24" s="77" t="s">
        <v>186</v>
      </c>
      <c r="D24" s="78">
        <v>14</v>
      </c>
      <c r="E24" s="78">
        <v>6</v>
      </c>
      <c r="F24" s="42">
        <v>4</v>
      </c>
      <c r="G24" s="71" t="s">
        <v>146</v>
      </c>
      <c r="H24" s="66">
        <f t="shared" si="0"/>
        <v>10</v>
      </c>
    </row>
    <row r="25" spans="1:8" outlineLevel="1" x14ac:dyDescent="0.35">
      <c r="A25" s="110" t="s">
        <v>147</v>
      </c>
      <c r="B25" s="111"/>
      <c r="C25" s="77" t="s">
        <v>185</v>
      </c>
      <c r="D25" s="78">
        <v>15</v>
      </c>
      <c r="E25" s="78">
        <v>6</v>
      </c>
      <c r="F25" s="42">
        <v>2</v>
      </c>
      <c r="G25" s="71" t="s">
        <v>146</v>
      </c>
      <c r="H25" s="66">
        <f t="shared" si="0"/>
        <v>13</v>
      </c>
    </row>
    <row r="26" spans="1:8" outlineLevel="1" x14ac:dyDescent="0.35">
      <c r="A26" s="110" t="s">
        <v>147</v>
      </c>
      <c r="B26" s="111"/>
      <c r="C26" s="77" t="s">
        <v>192</v>
      </c>
      <c r="D26" s="78">
        <v>12</v>
      </c>
      <c r="E26" s="78">
        <v>6</v>
      </c>
      <c r="F26" s="42">
        <v>2</v>
      </c>
      <c r="G26" s="71" t="s">
        <v>146</v>
      </c>
      <c r="H26" s="66">
        <f t="shared" si="0"/>
        <v>10</v>
      </c>
    </row>
    <row r="27" spans="1:8" outlineLevel="1" x14ac:dyDescent="0.35">
      <c r="A27" s="110" t="str">
        <f>IF(H2&gt;11,"TN","entfällt")</f>
        <v>TN</v>
      </c>
      <c r="B27" s="111"/>
      <c r="C27" s="77"/>
      <c r="D27" s="78"/>
      <c r="E27" s="78"/>
      <c r="F27" s="42"/>
      <c r="G27" s="71" t="str">
        <f>IF(H2&gt;12,"Wert - Abzug","entfällt")</f>
        <v>Wert - Abzug</v>
      </c>
      <c r="H27" s="66">
        <f t="shared" si="0"/>
        <v>0</v>
      </c>
    </row>
    <row r="28" spans="1:8" outlineLevel="1" x14ac:dyDescent="0.35">
      <c r="A28" s="110" t="str">
        <f>IF(H2&gt;15,"TN","entfällt")</f>
        <v>TN</v>
      </c>
      <c r="B28" s="111"/>
      <c r="C28" s="77"/>
      <c r="D28" s="78"/>
      <c r="E28" s="78"/>
      <c r="F28" s="42"/>
      <c r="G28" s="71" t="str">
        <f>IF(H2&gt;16,"Wert - Abzug","entfällt")</f>
        <v>entfällt</v>
      </c>
      <c r="H28" s="66">
        <f t="shared" si="0"/>
        <v>0</v>
      </c>
    </row>
    <row r="29" spans="1:8" outlineLevel="1" x14ac:dyDescent="0.35">
      <c r="A29" s="110" t="str">
        <f>IF(H2&gt;15,"TN","entfällt")</f>
        <v>TN</v>
      </c>
      <c r="B29" s="111"/>
      <c r="C29" s="77"/>
      <c r="D29" s="78"/>
      <c r="E29" s="78"/>
      <c r="F29" s="42"/>
      <c r="G29" s="71" t="str">
        <f>IF(H2&gt;16,"Wert - Abzug","entfällt")</f>
        <v>entfällt</v>
      </c>
      <c r="H29" s="66">
        <f>IF(A29="entfällt",0,IF(F29="",0,D29-F29))</f>
        <v>0</v>
      </c>
    </row>
    <row r="30" spans="1:8" outlineLevel="1" x14ac:dyDescent="0.35">
      <c r="A30" s="165" t="str">
        <f>IF($H$2&gt;10,"Verbindung Sprung 1","entfällt")</f>
        <v>Verbindung Sprung 1</v>
      </c>
      <c r="B30" s="166"/>
      <c r="C30" s="40" t="s">
        <v>62</v>
      </c>
      <c r="D30" s="40">
        <v>15</v>
      </c>
      <c r="E30" s="40">
        <v>3</v>
      </c>
      <c r="F30" s="42">
        <v>2</v>
      </c>
      <c r="G30" s="71" t="str">
        <f>IF(H2&gt;12,"Wert - Abzug","entfällt")</f>
        <v>Wert - Abzug</v>
      </c>
      <c r="H30" s="66"/>
    </row>
    <row r="31" spans="1:8" outlineLevel="1" x14ac:dyDescent="0.35">
      <c r="A31" s="165" t="str">
        <f>IF($H$2&gt;10,"Verbindung Sprung 2","entfällt")</f>
        <v>Verbindung Sprung 2</v>
      </c>
      <c r="B31" s="166"/>
      <c r="C31" s="40" t="s">
        <v>246</v>
      </c>
      <c r="D31" s="40">
        <v>6</v>
      </c>
      <c r="E31" s="40">
        <v>3</v>
      </c>
      <c r="F31" s="42">
        <v>2</v>
      </c>
      <c r="G31" s="71" t="str">
        <f>IF(H2&gt;12,"Wert - Abzug","entfällt")</f>
        <v>Wert - Abzug</v>
      </c>
      <c r="H31" s="66"/>
    </row>
    <row r="32" spans="1:8" outlineLevel="1" x14ac:dyDescent="0.35">
      <c r="A32" s="165" t="str">
        <f>IF($H$2&gt;10,"Verbindung Sprung 3","entfällt")</f>
        <v>Verbindung Sprung 3</v>
      </c>
      <c r="B32" s="166"/>
      <c r="C32" s="40" t="s">
        <v>58</v>
      </c>
      <c r="D32" s="40">
        <v>13</v>
      </c>
      <c r="E32" s="40">
        <v>3</v>
      </c>
      <c r="F32" s="42">
        <v>2</v>
      </c>
      <c r="G32" s="71" t="str">
        <f>IF(H2&gt;12,"Wert - Abzug","entfällt")</f>
        <v>Wert - Abzug</v>
      </c>
      <c r="H32" s="66"/>
    </row>
    <row r="33" spans="1:8" outlineLevel="1" x14ac:dyDescent="0.35">
      <c r="A33" s="165" t="str">
        <f>IF($H$2&gt;10,"Verbindung Sprung 4","entfällt")</f>
        <v>Verbindung Sprung 4</v>
      </c>
      <c r="B33" s="166"/>
      <c r="C33" s="40" t="s">
        <v>49</v>
      </c>
      <c r="D33" s="40">
        <v>6</v>
      </c>
      <c r="E33" s="40">
        <v>3</v>
      </c>
      <c r="F33" s="42">
        <v>1</v>
      </c>
      <c r="G33" s="71" t="str">
        <f>IF(H2&gt;12,"Wert - Abzug","entfällt")</f>
        <v>Wert - Abzug</v>
      </c>
      <c r="H33" s="66"/>
    </row>
    <row r="34" spans="1:8" outlineLevel="1" x14ac:dyDescent="0.35">
      <c r="A34" s="165" t="str">
        <f>IF($H$2&gt;10,"Verbindung Sprung 5","entfällt")</f>
        <v>Verbindung Sprung 5</v>
      </c>
      <c r="B34" s="166"/>
      <c r="C34" s="40" t="s">
        <v>50</v>
      </c>
      <c r="D34" s="40">
        <v>6</v>
      </c>
      <c r="E34" s="40">
        <v>3</v>
      </c>
      <c r="F34" s="42">
        <v>2</v>
      </c>
      <c r="G34" s="71" t="str">
        <f>IF(H2&gt;12,"Wert - Abzug","entfällt")</f>
        <v>Wert - Abzug</v>
      </c>
      <c r="H34" s="66"/>
    </row>
    <row r="35" spans="1:8" ht="15" outlineLevel="1" thickBot="1" x14ac:dyDescent="0.4">
      <c r="A35" s="171" t="str">
        <f>IF($H$2&gt;10,"Verbindung Sprung 6","entfällt")</f>
        <v>Verbindung Sprung 6</v>
      </c>
      <c r="B35" s="172"/>
      <c r="C35" s="68" t="s">
        <v>60</v>
      </c>
      <c r="D35" s="68">
        <v>14</v>
      </c>
      <c r="E35" s="68">
        <v>3</v>
      </c>
      <c r="F35" s="69">
        <v>3</v>
      </c>
      <c r="G35" s="72" t="str">
        <f>IF(H2&gt;12,"Wert - Abzug","entfällt")</f>
        <v>Wert - Abzug</v>
      </c>
      <c r="H35" s="70">
        <f>30-F30-F31-F32-F33-F34-F35</f>
        <v>18</v>
      </c>
    </row>
    <row r="36" spans="1:8" ht="15" thickBot="1" x14ac:dyDescent="0.4">
      <c r="A36" s="173" t="s">
        <v>41</v>
      </c>
      <c r="B36" s="174"/>
      <c r="C36" s="174"/>
      <c r="D36" s="174"/>
      <c r="E36" s="174"/>
      <c r="F36" s="174"/>
      <c r="G36" s="175"/>
      <c r="H36" s="89">
        <f>SUM(H20:H35)</f>
        <v>58.05</v>
      </c>
    </row>
    <row r="37" spans="1:8" ht="15" outlineLevel="1" thickBot="1" x14ac:dyDescent="0.4">
      <c r="A37" s="181" t="s">
        <v>99</v>
      </c>
      <c r="B37" s="182"/>
      <c r="C37" s="182"/>
      <c r="D37" s="183"/>
      <c r="E37" s="85" t="s">
        <v>27</v>
      </c>
      <c r="F37" s="85" t="s">
        <v>237</v>
      </c>
      <c r="G37" s="86" t="s">
        <v>28</v>
      </c>
      <c r="H37" s="49" t="s">
        <v>234</v>
      </c>
    </row>
    <row r="38" spans="1:8" outlineLevel="1" x14ac:dyDescent="0.35">
      <c r="A38" s="179" t="str">
        <f ca="1">VLOOKUP(1,INDIRECT($C$65),2,0)</f>
        <v>Flugrolle mit Überstrecken mit Anlauf</v>
      </c>
      <c r="B38" s="180"/>
      <c r="C38" s="180"/>
      <c r="D38" s="180"/>
      <c r="E38" s="92">
        <f ca="1">VLOOKUP(1,INDIRECT($C$65),3,0)</f>
        <v>3</v>
      </c>
      <c r="F38" s="79">
        <v>0</v>
      </c>
      <c r="G38" s="80" t="s">
        <v>146</v>
      </c>
      <c r="H38" s="84">
        <f ca="1">IF(E38=" ","",IF(F38="",0,E38-F38))</f>
        <v>3</v>
      </c>
    </row>
    <row r="39" spans="1:8" outlineLevel="1" x14ac:dyDescent="0.35">
      <c r="A39" s="163" t="str">
        <f ca="1">VLOOKUP(2,INDIRECT($C$65),2,0)</f>
        <v>--&gt; Strecksprung, Salto vorwärts gehockt</v>
      </c>
      <c r="B39" s="164"/>
      <c r="C39" s="164"/>
      <c r="D39" s="164"/>
      <c r="E39" s="87">
        <f ca="1">VLOOKUP(2,INDIRECT($C$65),3,0)</f>
        <v>4.5</v>
      </c>
      <c r="F39" s="43">
        <v>0.5</v>
      </c>
      <c r="G39" s="81" t="s">
        <v>146</v>
      </c>
      <c r="H39" s="84">
        <f t="shared" ref="H39:H49" ca="1" si="1">IF(E39=" ","",IF(F39="",0,E39-F39))</f>
        <v>4</v>
      </c>
    </row>
    <row r="40" spans="1:8" outlineLevel="1" x14ac:dyDescent="0.35">
      <c r="A40" s="163" t="str">
        <f ca="1">VLOOKUP(3,INDIRECT($C$65),2,0)</f>
        <v>Vorspreizen, Handstand mit 1/1 Drehung, abrollen</v>
      </c>
      <c r="B40" s="164"/>
      <c r="C40" s="164"/>
      <c r="D40" s="164"/>
      <c r="E40" s="87">
        <f ca="1">VLOOKUP(3,INDIRECT($C$65),3,0)</f>
        <v>3</v>
      </c>
      <c r="F40" s="43">
        <v>0</v>
      </c>
      <c r="G40" s="81" t="s">
        <v>146</v>
      </c>
      <c r="H40" s="84">
        <f t="shared" ca="1" si="1"/>
        <v>3</v>
      </c>
    </row>
    <row r="41" spans="1:8" outlineLevel="1" x14ac:dyDescent="0.35">
      <c r="A41" s="163" t="str">
        <f ca="1">VLOOKUP(4,INDIRECT($C$65),2,0)</f>
        <v>--&gt; Aufstehen mit gestreckten Beinen</v>
      </c>
      <c r="B41" s="164"/>
      <c r="C41" s="164"/>
      <c r="D41" s="164"/>
      <c r="E41" s="87">
        <f ca="1">VLOOKUP(4,INDIRECT($C$65),3,0)</f>
        <v>3</v>
      </c>
      <c r="F41" s="43">
        <v>1.5</v>
      </c>
      <c r="G41" s="81" t="s">
        <v>146</v>
      </c>
      <c r="H41" s="84">
        <f t="shared" ca="1" si="1"/>
        <v>1.5</v>
      </c>
    </row>
    <row r="42" spans="1:8" outlineLevel="1" x14ac:dyDescent="0.35">
      <c r="A42" s="163" t="str">
        <f ca="1">VLOOKUP(5,INDIRECT($C$65),2,0)</f>
        <v>Vorspreizen, Bestellschritt, Strecksprung 3/2 Drehung</v>
      </c>
      <c r="B42" s="164"/>
      <c r="C42" s="164"/>
      <c r="D42" s="164"/>
      <c r="E42" s="87">
        <f ca="1">VLOOKUP(5,INDIRECT($C$65),3,0)</f>
        <v>3</v>
      </c>
      <c r="F42" s="43">
        <v>2</v>
      </c>
      <c r="G42" s="81" t="s">
        <v>146</v>
      </c>
      <c r="H42" s="84">
        <f t="shared" ca="1" si="1"/>
        <v>1</v>
      </c>
    </row>
    <row r="43" spans="1:8" outlineLevel="1" x14ac:dyDescent="0.35">
      <c r="A43" s="163" t="str">
        <f ca="1">VLOOKUP(6,INDIRECT($C$65),2,0)</f>
        <v>Salto rückwärts gehockt</v>
      </c>
      <c r="B43" s="164"/>
      <c r="C43" s="164"/>
      <c r="D43" s="164"/>
      <c r="E43" s="87">
        <f ca="1">VLOOKUP(6,INDIRECT($C$65),3,0)</f>
        <v>3</v>
      </c>
      <c r="F43" s="43">
        <v>1</v>
      </c>
      <c r="G43" s="81" t="s">
        <v>146</v>
      </c>
      <c r="H43" s="84">
        <f t="shared" ca="1" si="1"/>
        <v>2</v>
      </c>
    </row>
    <row r="44" spans="1:8" outlineLevel="1" x14ac:dyDescent="0.35">
      <c r="A44" s="163" t="str">
        <f ca="1">VLOOKUP(7,INDIRECT($C$65),2,0)</f>
        <v>Handstützüberschlag</v>
      </c>
      <c r="B44" s="164"/>
      <c r="C44" s="164"/>
      <c r="D44" s="164"/>
      <c r="E44" s="87">
        <f ca="1">VLOOKUP(7,INDIRECT($C$65),3,0)</f>
        <v>3</v>
      </c>
      <c r="F44" s="43">
        <v>0.5</v>
      </c>
      <c r="G44" s="81" t="s">
        <v>146</v>
      </c>
      <c r="H44" s="84">
        <f t="shared" ca="1" si="1"/>
        <v>2.5</v>
      </c>
    </row>
    <row r="45" spans="1:8" outlineLevel="1" x14ac:dyDescent="0.35">
      <c r="A45" s="163" t="str">
        <f ca="1">VLOOKUP(8,INDIRECT($C$65),2,0)</f>
        <v>--&gt; Ansprung Schrittstellung, Handstand mit zwei Hüpfern</v>
      </c>
      <c r="B45" s="164"/>
      <c r="C45" s="164"/>
      <c r="D45" s="164"/>
      <c r="E45" s="87">
        <f ca="1">VLOOKUP(8,INDIRECT($C$65),3,0)</f>
        <v>3</v>
      </c>
      <c r="F45" s="43">
        <v>0</v>
      </c>
      <c r="G45" s="81" t="s">
        <v>146</v>
      </c>
      <c r="H45" s="84">
        <f t="shared" ca="1" si="1"/>
        <v>3</v>
      </c>
    </row>
    <row r="46" spans="1:8" outlineLevel="1" x14ac:dyDescent="0.35">
      <c r="A46" s="163" t="str">
        <f ca="1">VLOOKUP(9,INDIRECT($C$65),2,0)</f>
        <v>Abrollen --&gt; Strecksprung 1/2 Drehung</v>
      </c>
      <c r="B46" s="164"/>
      <c r="C46" s="164"/>
      <c r="D46" s="164"/>
      <c r="E46" s="87">
        <f ca="1">VLOOKUP(9,INDIRECT($C$65),3,0)</f>
        <v>1.5</v>
      </c>
      <c r="F46" s="43">
        <v>0</v>
      </c>
      <c r="G46" s="81" t="str">
        <f>IF(H2&gt;16,"","Wert - Abzug")</f>
        <v>Wert - Abzug</v>
      </c>
      <c r="H46" s="84">
        <f t="shared" ca="1" si="1"/>
        <v>1.5</v>
      </c>
    </row>
    <row r="47" spans="1:8" outlineLevel="1" x14ac:dyDescent="0.35">
      <c r="A47" s="163" t="str">
        <f ca="1">VLOOKUP(10,INDIRECT($C$65),2,0)</f>
        <v>Salto vorwärts gebückt mit Anlauf</v>
      </c>
      <c r="B47" s="164"/>
      <c r="C47" s="164"/>
      <c r="D47" s="164"/>
      <c r="E47" s="87">
        <f ca="1">VLOOKUP(10,INDIRECT($C$65),3,0)</f>
        <v>3</v>
      </c>
      <c r="F47" s="43">
        <v>0</v>
      </c>
      <c r="G47" s="81" t="str">
        <f>IF(H2&gt;16,"","Wert - Abzug")</f>
        <v>Wert - Abzug</v>
      </c>
      <c r="H47" s="84">
        <f t="shared" ca="1" si="1"/>
        <v>3</v>
      </c>
    </row>
    <row r="48" spans="1:8" outlineLevel="1" x14ac:dyDescent="0.35">
      <c r="A48" s="163" t="str">
        <f ca="1">VLOOKUP(11,INDIRECT($C$65),2,0)</f>
        <v xml:space="preserve"> </v>
      </c>
      <c r="B48" s="164"/>
      <c r="C48" s="164"/>
      <c r="D48" s="164"/>
      <c r="E48" s="87" t="str">
        <f ca="1">VLOOKUP(11,INDIRECT($C$65),3,0)</f>
        <v xml:space="preserve"> </v>
      </c>
      <c r="F48" s="43"/>
      <c r="G48" s="81" t="str">
        <f>IF(H2&gt;13,"","Wert - Abzug")</f>
        <v/>
      </c>
      <c r="H48" s="84" t="str">
        <f t="shared" ca="1" si="1"/>
        <v/>
      </c>
    </row>
    <row r="49" spans="1:8" ht="15" outlineLevel="1" thickBot="1" x14ac:dyDescent="0.4">
      <c r="A49" s="184" t="str">
        <f ca="1">VLOOKUP(12,INDIRECT($C$65),2,0)</f>
        <v xml:space="preserve"> </v>
      </c>
      <c r="B49" s="185"/>
      <c r="C49" s="185"/>
      <c r="D49" s="185"/>
      <c r="E49" s="93" t="str">
        <f ca="1">VLOOKUP(12,INDIRECT($C$65),3,0)</f>
        <v xml:space="preserve"> </v>
      </c>
      <c r="F49" s="82"/>
      <c r="G49" s="83" t="str">
        <f>IF(OR(H2=9,H2=12,H2=13),"Wert - Abzug","")</f>
        <v/>
      </c>
      <c r="H49" s="84" t="str">
        <f t="shared" ca="1" si="1"/>
        <v/>
      </c>
    </row>
    <row r="50" spans="1:8" ht="15" thickBot="1" x14ac:dyDescent="0.4">
      <c r="A50" s="176" t="s">
        <v>98</v>
      </c>
      <c r="B50" s="177"/>
      <c r="C50" s="177"/>
      <c r="D50" s="177"/>
      <c r="E50" s="177"/>
      <c r="F50" s="177"/>
      <c r="G50" s="178"/>
      <c r="H50" s="44">
        <f ca="1">SUM(H38:H49)</f>
        <v>24.5</v>
      </c>
    </row>
    <row r="51" spans="1:8" ht="16" thickBot="1" x14ac:dyDescent="0.4">
      <c r="A51" s="169" t="s">
        <v>42</v>
      </c>
      <c r="B51" s="170"/>
      <c r="C51" s="170"/>
      <c r="D51" s="170"/>
      <c r="E51" s="170"/>
      <c r="F51" s="170"/>
      <c r="G51" s="170"/>
      <c r="H51" s="94">
        <f ca="1">SUM(H9,H18,H36,H50)</f>
        <v>171.55</v>
      </c>
    </row>
    <row r="52" spans="1:8" s="23" customFormat="1" x14ac:dyDescent="0.35">
      <c r="D52" s="50"/>
      <c r="E52" s="50"/>
      <c r="F52" s="50"/>
      <c r="G52" s="50"/>
    </row>
    <row r="53" spans="1:8" s="23" customFormat="1" hidden="1" x14ac:dyDescent="0.35">
      <c r="C53" s="24"/>
      <c r="D53" s="50"/>
      <c r="E53" s="50"/>
      <c r="F53" s="50"/>
      <c r="G53" s="50"/>
    </row>
    <row r="54" spans="1:8" s="23" customFormat="1" hidden="1" x14ac:dyDescent="0.35">
      <c r="B54" s="23" t="s">
        <v>249</v>
      </c>
      <c r="C54" s="23" t="str">
        <f>IF(H2&lt;13,"beide",F1)</f>
        <v>weiblich</v>
      </c>
      <c r="D54" s="50"/>
      <c r="E54" s="50"/>
      <c r="F54" s="50"/>
      <c r="G54" s="50"/>
    </row>
    <row r="55" spans="1:8" s="23" customFormat="1" hidden="1" x14ac:dyDescent="0.35">
      <c r="B55" s="23" t="s">
        <v>3</v>
      </c>
      <c r="C55" s="23" t="str">
        <f>IF(OR(H2=8,H2=11),H2,IF(H2&lt;11,"9_10",IF(H2&lt;14,"12_13",IF(H2&lt;16,"14_15",IF(H2&lt;18,"16_17",18)))))</f>
        <v>16_17</v>
      </c>
      <c r="D55" s="50"/>
      <c r="E55" s="50"/>
      <c r="F55" s="50"/>
      <c r="G55" s="50"/>
    </row>
    <row r="56" spans="1:8" s="23" customFormat="1" hidden="1" x14ac:dyDescent="0.35">
      <c r="D56" s="50"/>
      <c r="E56" s="50"/>
      <c r="F56" s="50"/>
      <c r="G56" s="50"/>
    </row>
    <row r="57" spans="1:8" s="23" customFormat="1" hidden="1" x14ac:dyDescent="0.35">
      <c r="B57" s="23" t="s">
        <v>251</v>
      </c>
      <c r="C57" s="23" t="str">
        <f>"TBN_"&amp;C54&amp;"_"&amp;C55</f>
        <v>TBN_weiblich_16_17</v>
      </c>
      <c r="D57" s="50"/>
      <c r="E57" s="50"/>
      <c r="F57" s="50"/>
      <c r="G57" s="50"/>
    </row>
    <row r="58" spans="1:8" s="23" customFormat="1" hidden="1" x14ac:dyDescent="0.35">
      <c r="C58" s="23" t="str">
        <f>C57&amp;"[Beschreibung]"</f>
        <v>TBN_weiblich_16_17[Beschreibung]</v>
      </c>
      <c r="D58" s="50"/>
      <c r="E58" s="50"/>
      <c r="F58" s="50"/>
      <c r="G58" s="50"/>
    </row>
    <row r="59" spans="1:8" s="23" customFormat="1" hidden="1" x14ac:dyDescent="0.35">
      <c r="D59" s="50"/>
      <c r="E59" s="50"/>
      <c r="F59" s="50"/>
      <c r="G59" s="50"/>
    </row>
    <row r="60" spans="1:8" s="23" customFormat="1" hidden="1" x14ac:dyDescent="0.35">
      <c r="B60" s="23" t="s">
        <v>147</v>
      </c>
      <c r="C60" s="23" t="str">
        <f>"TN_"&amp;C54&amp;"_"&amp;C55</f>
        <v>TN_weiblich_16_17</v>
      </c>
      <c r="D60" s="50"/>
      <c r="E60" s="50"/>
      <c r="F60" s="50"/>
      <c r="G60" s="50"/>
    </row>
    <row r="61" spans="1:8" s="23" customFormat="1" hidden="1" x14ac:dyDescent="0.35">
      <c r="C61" s="23" t="str">
        <f>C60&amp;"[Beschreibung]"</f>
        <v>TN_weiblich_16_17[Beschreibung]</v>
      </c>
      <c r="D61" s="50"/>
      <c r="E61" s="50"/>
      <c r="F61" s="50"/>
      <c r="G61" s="50"/>
    </row>
    <row r="62" spans="1:8" s="23" customFormat="1" hidden="1" x14ac:dyDescent="0.35">
      <c r="D62" s="50"/>
      <c r="E62" s="50"/>
      <c r="F62" s="50"/>
      <c r="G62" s="50"/>
    </row>
    <row r="63" spans="1:8" s="23" customFormat="1" hidden="1" x14ac:dyDescent="0.35">
      <c r="B63" s="23" t="s">
        <v>17</v>
      </c>
      <c r="C63" s="23" t="str">
        <f>"TV_"&amp;F1&amp;"_"&amp;C55</f>
        <v>TV_weiblich_16_17</v>
      </c>
      <c r="D63" s="50"/>
      <c r="E63" s="50"/>
      <c r="F63" s="50"/>
      <c r="G63" s="50"/>
    </row>
    <row r="64" spans="1:8" s="23" customFormat="1" hidden="1" x14ac:dyDescent="0.35">
      <c r="D64" s="50"/>
      <c r="E64" s="50"/>
      <c r="F64" s="50"/>
      <c r="G64" s="50"/>
    </row>
    <row r="65" spans="2:7" s="23" customFormat="1" hidden="1" x14ac:dyDescent="0.35">
      <c r="B65" s="23" t="s">
        <v>252</v>
      </c>
      <c r="C65" s="23" t="str">
        <f>"BKÜ"&amp;IF(H2=9,"_9",IF(H2&lt;12,"_10_11",IF(H2&lt;14,"_12_13",IF(H2&lt;17,"_14_16","_17"))))</f>
        <v>BKÜ_14_16</v>
      </c>
      <c r="D65" s="50"/>
      <c r="E65" s="50"/>
      <c r="F65" s="50"/>
      <c r="G65" s="50"/>
    </row>
    <row r="66" spans="2:7" s="23" customFormat="1" hidden="1" x14ac:dyDescent="0.35">
      <c r="D66" s="50"/>
      <c r="E66" s="50"/>
      <c r="F66" s="50"/>
      <c r="G66" s="50"/>
    </row>
    <row r="67" spans="2:7" s="23" customFormat="1" hidden="1" x14ac:dyDescent="0.35">
      <c r="B67" s="23" t="s">
        <v>250</v>
      </c>
      <c r="C67" s="23" t="str">
        <f>IF(H2&lt;17,"beide",F1)</f>
        <v>beide</v>
      </c>
      <c r="D67" s="50"/>
      <c r="E67" s="50"/>
      <c r="F67" s="50"/>
      <c r="G67" s="50"/>
    </row>
    <row r="68" spans="2:7" s="23" customFormat="1" hidden="1" x14ac:dyDescent="0.35">
      <c r="B68" s="23" t="s">
        <v>17</v>
      </c>
      <c r="C68" s="23" t="str">
        <f>"TV_"&amp;C67&amp;"_"&amp;C55</f>
        <v>TV_beide_16_17</v>
      </c>
      <c r="D68" s="50"/>
      <c r="E68" s="50"/>
      <c r="F68" s="50"/>
      <c r="G68" s="50"/>
    </row>
    <row r="69" spans="2:7" x14ac:dyDescent="0.35"/>
    <row r="70" spans="2:7" x14ac:dyDescent="0.35"/>
  </sheetData>
  <sheetProtection selectLockedCells="1"/>
  <protectedRanges>
    <protectedRange sqref="H1:H2 F1:F2 B1:B2" name="Athletendaten"/>
    <protectedRange sqref="F38:F49 C20:F29 D69:E440 C69:C441 F4:F8 C38:E68 C11:E16 F11:F17 F30:F35" name="Werte und Varianten"/>
    <protectedRange algorithmName="SHA-512" hashValue="EtPG7jm6pk6JVG08ToKZL4Sto4PS6TOUsygvFmj6DTfcGnX6DwKdfjTEg/2X1Hwnu/CwfNhBUSnXKs/oLqcupQ==" saltValue="sPse4fdTsI5OFESYvRIl8Q==" spinCount="100000" sqref="H4:H8 H38:H49 H20:H35 H11:H17" name="Punktzahlen"/>
    <protectedRange sqref="C30:E35" name="Werte und Varianten_1"/>
  </protectedRanges>
  <mergeCells count="44">
    <mergeCell ref="A12:E12"/>
    <mergeCell ref="B1:E1"/>
    <mergeCell ref="B2:F2"/>
    <mergeCell ref="A3:E3"/>
    <mergeCell ref="A4:E4"/>
    <mergeCell ref="A5:E5"/>
    <mergeCell ref="A6:E6"/>
    <mergeCell ref="A7:E7"/>
    <mergeCell ref="A8:E8"/>
    <mergeCell ref="A9:G9"/>
    <mergeCell ref="A10:E10"/>
    <mergeCell ref="A11:E11"/>
    <mergeCell ref="A31:B31"/>
    <mergeCell ref="A13:E13"/>
    <mergeCell ref="A14:E14"/>
    <mergeCell ref="A15:E15"/>
    <mergeCell ref="A16:E16"/>
    <mergeCell ref="A18:G18"/>
    <mergeCell ref="A19:C19"/>
    <mergeCell ref="A20:B20"/>
    <mergeCell ref="A21:B21"/>
    <mergeCell ref="A22:B22"/>
    <mergeCell ref="A23:B23"/>
    <mergeCell ref="A30:B30"/>
    <mergeCell ref="A43:D43"/>
    <mergeCell ref="A32:B32"/>
    <mergeCell ref="A33:B33"/>
    <mergeCell ref="A34:B34"/>
    <mergeCell ref="A35:B35"/>
    <mergeCell ref="A36:G36"/>
    <mergeCell ref="A37:D37"/>
    <mergeCell ref="A38:D38"/>
    <mergeCell ref="A39:D39"/>
    <mergeCell ref="A40:D40"/>
    <mergeCell ref="A41:D41"/>
    <mergeCell ref="A42:D42"/>
    <mergeCell ref="A50:G50"/>
    <mergeCell ref="A51:G51"/>
    <mergeCell ref="A44:D44"/>
    <mergeCell ref="A45:D45"/>
    <mergeCell ref="A46:D46"/>
    <mergeCell ref="A47:D47"/>
    <mergeCell ref="A48:D48"/>
    <mergeCell ref="A49:D49"/>
  </mergeCells>
  <conditionalFormatting sqref="F46:F49">
    <cfRule type="expression" dxfId="251" priority="3">
      <formula>$A46=" "</formula>
    </cfRule>
  </conditionalFormatting>
  <conditionalFormatting sqref="B24:B29 C21:E29">
    <cfRule type="expression" dxfId="250" priority="2">
      <formula>$A21="entfällt"</formula>
    </cfRule>
    <cfRule type="expression" dxfId="249" priority="4">
      <formula>$H$2&gt;14</formula>
    </cfRule>
  </conditionalFormatting>
  <conditionalFormatting sqref="B24:B29">
    <cfRule type="expression" dxfId="248" priority="1">
      <formula>AND($A24="TN",$C24&lt;&gt;"")</formula>
    </cfRule>
  </conditionalFormatting>
  <dataValidations count="19">
    <dataValidation type="decimal" errorStyle="warning" allowBlank="1" showInputMessage="1" showErrorMessage="1" error="Eingegebener Abzug überschreitet maximal zulässigen Abzug, Wert bitte überprüfen!" sqref="F21:F35" xr:uid="{0B09D146-D6A6-47D0-B30D-E554BC401404}">
      <formula1>0</formula1>
      <formula2>$E21</formula2>
    </dataValidation>
    <dataValidation type="list" allowBlank="1" showInputMessage="1" showErrorMessage="1" sqref="C20" xr:uid="{534BF0D2-5F80-4B32-A1F5-AF2430127772}">
      <formula1>"Lichtschranke,Druckmessplatte"</formula1>
    </dataValidation>
    <dataValidation type="whole" allowBlank="1" showInputMessage="1" showErrorMessage="1" errorTitle="Falsche Eingabe" error="Bitte Wert prüfen" sqref="D17" xr:uid="{02227E58-9054-4CA3-98B1-509838C46395}">
      <formula1>1</formula1>
      <formula2>13</formula2>
    </dataValidation>
    <dataValidation type="list" allowBlank="1" showInputMessage="1" sqref="C24:C29" xr:uid="{A40151D9-40CD-4C9B-89E8-6F0F4145C902}">
      <formula1>INDIRECT($C$61)</formula1>
    </dataValidation>
    <dataValidation type="list" allowBlank="1" showInputMessage="1" sqref="C21:C23" xr:uid="{2FBA9896-C620-4B6A-BD77-3DDFE11F74B9}">
      <formula1>INDIRECT($C$58)</formula1>
    </dataValidation>
    <dataValidation allowBlank="1" showInputMessage="1" showErrorMessage="1" prompt="Anzahl der Wiederholungen" sqref="F11" xr:uid="{EAA74CAC-DFF3-4519-A25E-00A68EDB70A9}"/>
    <dataValidation type="whole" allowBlank="1" showInputMessage="1" showErrorMessage="1" prompt="Abstand von der Oberkante des Turnhockers zur schlechtesten Fingerspitze in cm" sqref="F6" xr:uid="{E8471DEA-BEF6-44E3-A120-B2AD811BD7A7}">
      <formula1>-50</formula1>
      <formula2>50</formula2>
    </dataValidation>
    <dataValidation type="list" allowBlank="1" showInputMessage="1" showErrorMessage="1" prompt="Punktzahl nach Vergleich mit Bild" sqref="F5" xr:uid="{DF39609F-8F82-48D5-AB39-3CFECF9C17A0}">
      <formula1>"0,2,6,10"</formula1>
    </dataValidation>
    <dataValidation type="whole" allowBlank="1" showErrorMessage="1" errorTitle="Falsche Eingabe" error="Bitte Wert prüfen" prompt="Höchste erreichte Stufe" sqref="F17" xr:uid="{921F8984-4B87-4DB2-AC6D-817DEF2BA58B}">
      <formula1>1</formula1>
      <formula2>11</formula2>
    </dataValidation>
    <dataValidation allowBlank="1" sqref="D20:E20" xr:uid="{09A992C5-BD31-4E76-842B-3152A0A2E8F9}"/>
    <dataValidation type="decimal" errorStyle="warning" allowBlank="1" showInputMessage="1" showErrorMessage="1" error="Abzug höher als Wert des Elements, bitte überprüfen!" prompt="Abzug" sqref="F38:F49" xr:uid="{5CEC70FB-9659-4102-833C-BD733C6150C3}">
      <formula1>0</formula1>
      <formula2>$E38</formula2>
    </dataValidation>
    <dataValidation type="whole" allowBlank="1" showInputMessage="1" showErrorMessage="1" prompt="AKs 9 - 13: Übersprungene Kästchen_x000a__x000a_AKs 14 - 21: Anzahl Saltos" sqref="F15" xr:uid="{BF7B70D4-A5B8-4D50-A760-1BBD55255DF2}">
      <formula1>0</formula1>
      <formula2>50</formula2>
    </dataValidation>
    <dataValidation type="list" allowBlank="1" showInputMessage="1" showErrorMessage="1" sqref="F1" xr:uid="{550A1F05-27F9-460D-A94A-C71F83457F2D}">
      <formula1>"männlich,weiblich"</formula1>
    </dataValidation>
    <dataValidation type="whole" allowBlank="1" showInputMessage="1" showErrorMessage="1" sqref="H4:H8" xr:uid="{C6E20DA0-BA98-453F-A1F2-9FB16D71D196}">
      <formula1>0</formula1>
      <formula2>10</formula2>
    </dataValidation>
    <dataValidation type="whole" allowBlank="1" showInputMessage="1" showErrorMessage="1" prompt="Haltezeit in Sekunden" sqref="F13" xr:uid="{94895B97-B20D-4674-B862-BC4BCFE6089D}">
      <formula1>0</formula1>
      <formula2>200</formula2>
    </dataValidation>
    <dataValidation type="whole" allowBlank="1" showInputMessage="1" showErrorMessage="1" prompt="Haltezeit in Sekunden" sqref="F16" xr:uid="{5DC3886A-5FC5-49E4-B6E4-8C2AD528C905}">
      <formula1>0</formula1>
      <formula2>100</formula2>
    </dataValidation>
    <dataValidation type="whole" allowBlank="1" showInputMessage="1" showErrorMessage="1" prompt="Anzahl der Wiederholungen" sqref="F14 F12" xr:uid="{D05AF10F-3A33-4A8D-86AB-9587B8B8EFF6}">
      <formula1>0</formula1>
      <formula2>50</formula2>
    </dataValidation>
    <dataValidation type="list" operator="equal" allowBlank="1" showInputMessage="1" showErrorMessage="1" prompt="Punktzahl nach Vergleich mit Bild" sqref="F4" xr:uid="{6E83E4A5-F523-410D-A37D-8892F7FBAA74}">
      <formula1>"0,2,6,10"</formula1>
    </dataValidation>
    <dataValidation type="decimal" errorStyle="warning" showDropDown="1" showErrorMessage="1" error="Wert unrealistisch hoch, bitte Eingabe überprüfen" promptTitle="Vorsicht" sqref="F20" xr:uid="{F1166629-FD4A-4907-A796-FA14CEBF221A}">
      <formula1>0</formula1>
      <formula2>30</formula2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Bitte Werte aus Dropdown auswählen" prompt="Abstand vom Boden laut Schablone" xr:uid="{403EFE81-8B49-4D87-9325-6F1C000B379C}">
          <x14:formula1>
            <xm:f>Punktetabellen!$A$3:$A$6</xm:f>
          </x14:formula1>
          <xm:sqref>F7:F8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4877D-39ED-46A5-B317-9B1426E3F31D}">
  <sheetPr codeName="Tabelle37">
    <tabColor indexed="47"/>
    <pageSetUpPr fitToPage="1"/>
  </sheetPr>
  <dimension ref="A1:J70"/>
  <sheetViews>
    <sheetView zoomScale="85" zoomScaleNormal="85" workbookViewId="0">
      <pane ySplit="2" topLeftCell="A3" activePane="bottomLeft" state="frozen"/>
      <selection sqref="A1:H1"/>
      <selection pane="bottomLeft" activeCell="G17" sqref="G17"/>
    </sheetView>
  </sheetViews>
  <sheetFormatPr baseColWidth="10" defaultColWidth="0" defaultRowHeight="14.5" zeroHeight="1" outlineLevelRow="1" x14ac:dyDescent="0.35"/>
  <cols>
    <col min="1" max="1" width="11.453125" customWidth="1"/>
    <col min="2" max="2" width="12.1796875" customWidth="1"/>
    <col min="3" max="3" width="44.81640625" bestFit="1" customWidth="1"/>
    <col min="4" max="5" width="11.453125" style="154" customWidth="1"/>
    <col min="6" max="6" width="16.1796875" style="154" bestFit="1" customWidth="1"/>
    <col min="7" max="7" width="13.81640625" style="154" customWidth="1"/>
    <col min="8" max="8" width="11.453125" customWidth="1"/>
    <col min="9" max="9" width="6.1796875" style="23" hidden="1" customWidth="1"/>
    <col min="10" max="10" width="0" hidden="1" customWidth="1"/>
    <col min="11" max="16384" width="11.453125" hidden="1"/>
  </cols>
  <sheetData>
    <row r="1" spans="1:8" ht="15.5" x14ac:dyDescent="0.35">
      <c r="A1" s="16" t="s">
        <v>1</v>
      </c>
      <c r="B1" s="186" t="s">
        <v>403</v>
      </c>
      <c r="C1" s="187"/>
      <c r="D1" s="187"/>
      <c r="E1" s="188"/>
      <c r="F1" s="51" t="s">
        <v>97</v>
      </c>
      <c r="G1" s="61" t="s">
        <v>24</v>
      </c>
      <c r="H1" s="63">
        <v>2004</v>
      </c>
    </row>
    <row r="2" spans="1:8" ht="16" thickBot="1" x14ac:dyDescent="0.4">
      <c r="A2" s="17" t="s">
        <v>4</v>
      </c>
      <c r="B2" s="198" t="s">
        <v>402</v>
      </c>
      <c r="C2" s="199"/>
      <c r="D2" s="199"/>
      <c r="E2" s="199"/>
      <c r="F2" s="200"/>
      <c r="G2" s="62" t="s">
        <v>3</v>
      </c>
      <c r="H2" s="64">
        <f>2022-H1</f>
        <v>18</v>
      </c>
    </row>
    <row r="3" spans="1:8" ht="15" outlineLevel="1" thickBot="1" x14ac:dyDescent="0.4">
      <c r="A3" s="189" t="s">
        <v>26</v>
      </c>
      <c r="B3" s="190"/>
      <c r="C3" s="190"/>
      <c r="D3" s="190"/>
      <c r="E3" s="191"/>
      <c r="F3" s="46" t="s">
        <v>27</v>
      </c>
      <c r="G3" s="47" t="s">
        <v>28</v>
      </c>
      <c r="H3" s="22" t="s">
        <v>234</v>
      </c>
    </row>
    <row r="4" spans="1:8" outlineLevel="1" x14ac:dyDescent="0.35">
      <c r="A4" s="192" t="s">
        <v>30</v>
      </c>
      <c r="B4" s="193"/>
      <c r="C4" s="193"/>
      <c r="D4" s="193"/>
      <c r="E4" s="194"/>
      <c r="F4" s="25">
        <v>6</v>
      </c>
      <c r="G4" s="55" t="s">
        <v>32</v>
      </c>
      <c r="H4" s="34">
        <f>F4</f>
        <v>6</v>
      </c>
    </row>
    <row r="5" spans="1:8" outlineLevel="1" x14ac:dyDescent="0.35">
      <c r="A5" s="195" t="s">
        <v>85</v>
      </c>
      <c r="B5" s="196"/>
      <c r="C5" s="196"/>
      <c r="D5" s="196"/>
      <c r="E5" s="197"/>
      <c r="F5" s="14">
        <v>10</v>
      </c>
      <c r="G5" s="56" t="s">
        <v>32</v>
      </c>
      <c r="H5" s="35">
        <f>F5</f>
        <v>10</v>
      </c>
    </row>
    <row r="6" spans="1:8" outlineLevel="1" x14ac:dyDescent="0.35">
      <c r="A6" s="195" t="s">
        <v>33</v>
      </c>
      <c r="B6" s="196"/>
      <c r="C6" s="196"/>
      <c r="D6" s="196"/>
      <c r="E6" s="197"/>
      <c r="F6" s="14">
        <v>20</v>
      </c>
      <c r="G6" s="56" t="s">
        <v>31</v>
      </c>
      <c r="H6" s="35">
        <f>IF(F6="",0,VLOOKUP(F6,Punktetabellen!A10:B15,2,1))</f>
        <v>10</v>
      </c>
    </row>
    <row r="7" spans="1:8" outlineLevel="1" x14ac:dyDescent="0.35">
      <c r="A7" s="195" t="s">
        <v>34</v>
      </c>
      <c r="B7" s="196"/>
      <c r="C7" s="196"/>
      <c r="D7" s="196"/>
      <c r="E7" s="197"/>
      <c r="F7" s="14">
        <v>0</v>
      </c>
      <c r="G7" s="56" t="s">
        <v>31</v>
      </c>
      <c r="H7" s="35">
        <f>IF(F7="",0,VLOOKUP(F7,Punktetabellen!A3:B6,2,0))</f>
        <v>5</v>
      </c>
    </row>
    <row r="8" spans="1:8" ht="15" outlineLevel="1" thickBot="1" x14ac:dyDescent="0.4">
      <c r="A8" s="204" t="s">
        <v>35</v>
      </c>
      <c r="B8" s="205"/>
      <c r="C8" s="205"/>
      <c r="D8" s="205"/>
      <c r="E8" s="206"/>
      <c r="F8" s="41">
        <v>0</v>
      </c>
      <c r="G8" s="57" t="s">
        <v>31</v>
      </c>
      <c r="H8" s="36">
        <f>IF(F8="",0,VLOOKUP(F8,Punktetabellen!A3:B6,2,0))</f>
        <v>5</v>
      </c>
    </row>
    <row r="9" spans="1:8" ht="15" thickBot="1" x14ac:dyDescent="0.4">
      <c r="A9" s="210" t="s">
        <v>36</v>
      </c>
      <c r="B9" s="211"/>
      <c r="C9" s="211"/>
      <c r="D9" s="211"/>
      <c r="E9" s="211"/>
      <c r="F9" s="211"/>
      <c r="G9" s="211"/>
      <c r="H9" s="48">
        <f>SUM(H4:H8)</f>
        <v>36</v>
      </c>
    </row>
    <row r="10" spans="1:8" ht="15" outlineLevel="1" thickBot="1" x14ac:dyDescent="0.4">
      <c r="A10" s="189" t="s">
        <v>26</v>
      </c>
      <c r="B10" s="190"/>
      <c r="C10" s="190"/>
      <c r="D10" s="190"/>
      <c r="E10" s="191"/>
      <c r="F10" s="46" t="s">
        <v>27</v>
      </c>
      <c r="G10" s="47" t="s">
        <v>28</v>
      </c>
      <c r="H10" s="22" t="s">
        <v>234</v>
      </c>
    </row>
    <row r="11" spans="1:8" outlineLevel="1" x14ac:dyDescent="0.35">
      <c r="A11" s="207" t="s">
        <v>37</v>
      </c>
      <c r="B11" s="208"/>
      <c r="C11" s="208"/>
      <c r="D11" s="208"/>
      <c r="E11" s="209"/>
      <c r="F11" s="26">
        <v>1</v>
      </c>
      <c r="G11" s="58" t="s">
        <v>31</v>
      </c>
      <c r="H11" s="37">
        <f>IF($F11="",0,VLOOKUP($F11,Pkte_Klimmzug[],$H$2,1))</f>
        <v>0</v>
      </c>
    </row>
    <row r="12" spans="1:8" outlineLevel="1" x14ac:dyDescent="0.35">
      <c r="A12" s="201" t="s">
        <v>38</v>
      </c>
      <c r="B12" s="202"/>
      <c r="C12" s="202"/>
      <c r="D12" s="202"/>
      <c r="E12" s="203"/>
      <c r="F12" s="27">
        <v>0</v>
      </c>
      <c r="G12" s="59" t="s">
        <v>31</v>
      </c>
      <c r="H12" s="38">
        <f>IF($F12="",0,VLOOKUP($F12,Pkte_Beinheben[],$H$2,1))</f>
        <v>0</v>
      </c>
    </row>
    <row r="13" spans="1:8" outlineLevel="1" x14ac:dyDescent="0.35">
      <c r="A13" s="201" t="s">
        <v>88</v>
      </c>
      <c r="B13" s="202"/>
      <c r="C13" s="202"/>
      <c r="D13" s="202"/>
      <c r="E13" s="203"/>
      <c r="F13" s="27">
        <v>82</v>
      </c>
      <c r="G13" s="59" t="s">
        <v>31</v>
      </c>
      <c r="H13" s="38">
        <f>IF($F13="",0,VLOOKUP($F13,Pkte_Flieger[],$H$2,1))</f>
        <v>4</v>
      </c>
    </row>
    <row r="14" spans="1:8" outlineLevel="1" x14ac:dyDescent="0.35">
      <c r="A14" s="201" t="s">
        <v>39</v>
      </c>
      <c r="B14" s="202"/>
      <c r="C14" s="202"/>
      <c r="D14" s="202"/>
      <c r="E14" s="203"/>
      <c r="F14" s="27">
        <v>16</v>
      </c>
      <c r="G14" s="59" t="s">
        <v>31</v>
      </c>
      <c r="H14" s="38">
        <f>IF($F14="",0,VLOOKUP($F14,Pkte_Rollenverbindung[],$H$2,1))</f>
        <v>3</v>
      </c>
    </row>
    <row r="15" spans="1:8" outlineLevel="1" x14ac:dyDescent="0.35">
      <c r="A15" s="201" t="s">
        <v>89</v>
      </c>
      <c r="B15" s="202"/>
      <c r="C15" s="202"/>
      <c r="D15" s="202"/>
      <c r="E15" s="203"/>
      <c r="F15" s="27">
        <v>4</v>
      </c>
      <c r="G15" s="59" t="s">
        <v>31</v>
      </c>
      <c r="H15" s="38">
        <f>IF($F15="",0,VLOOKUP($F15,Pkte_Prellsprung[],$H$2,1))</f>
        <v>4</v>
      </c>
    </row>
    <row r="16" spans="1:8" outlineLevel="1" x14ac:dyDescent="0.35">
      <c r="A16" s="201" t="s">
        <v>90</v>
      </c>
      <c r="B16" s="202"/>
      <c r="C16" s="202"/>
      <c r="D16" s="202"/>
      <c r="E16" s="203"/>
      <c r="F16" s="28">
        <v>30</v>
      </c>
      <c r="G16" s="59" t="s">
        <v>31</v>
      </c>
      <c r="H16" s="38">
        <f>IF($F16="",0,VLOOKUP($F16,Pkte_Handstand[],$H$2,1))</f>
        <v>10</v>
      </c>
    </row>
    <row r="17" spans="1:8" ht="15" outlineLevel="1" thickBot="1" x14ac:dyDescent="0.4">
      <c r="A17" s="112" t="s">
        <v>93</v>
      </c>
      <c r="B17" s="113"/>
      <c r="C17" s="114" t="s">
        <v>269</v>
      </c>
      <c r="D17" s="29">
        <v>1</v>
      </c>
      <c r="E17" s="115" t="s">
        <v>270</v>
      </c>
      <c r="F17" s="29">
        <v>1</v>
      </c>
      <c r="G17" s="60" t="s">
        <v>31</v>
      </c>
      <c r="H17" s="39">
        <f>IF($F17="",0,IF($F$1="weiblich",VLOOKUP((100*$D17+$F17),Pkte_Shuttle_W[],$H$2,1),VLOOKUP((100*$D17+$F17),Pkte_Shuttle_M[],$H$2,1)))</f>
        <v>0</v>
      </c>
    </row>
    <row r="18" spans="1:8" ht="15" thickBot="1" x14ac:dyDescent="0.4">
      <c r="A18" s="161" t="s">
        <v>40</v>
      </c>
      <c r="B18" s="162"/>
      <c r="C18" s="162"/>
      <c r="D18" s="162"/>
      <c r="E18" s="162"/>
      <c r="F18" s="162"/>
      <c r="G18" s="162"/>
      <c r="H18" s="48">
        <f>SUM(H11:H17)</f>
        <v>21</v>
      </c>
    </row>
    <row r="19" spans="1:8" ht="15" outlineLevel="1" thickBot="1" x14ac:dyDescent="0.4">
      <c r="A19" s="159" t="s">
        <v>26</v>
      </c>
      <c r="B19" s="160"/>
      <c r="C19" s="160"/>
      <c r="D19" s="85" t="s">
        <v>235</v>
      </c>
      <c r="E19" s="85" t="s">
        <v>238</v>
      </c>
      <c r="F19" s="85" t="s">
        <v>236</v>
      </c>
      <c r="G19" s="86" t="s">
        <v>28</v>
      </c>
      <c r="H19" s="49" t="s">
        <v>234</v>
      </c>
    </row>
    <row r="20" spans="1:8" outlineLevel="1" x14ac:dyDescent="0.35">
      <c r="A20" s="167" t="s">
        <v>148</v>
      </c>
      <c r="B20" s="168"/>
      <c r="C20" s="116" t="s">
        <v>277</v>
      </c>
      <c r="D20" s="90">
        <f>IF(F1="männlich",VLOOKUP(H2,Standsprünge!A3:C15,3,0),VLOOKUP(H2,Standsprünge!A3:B15,2,0))+IF(C20="Druckmessplatte",0)</f>
        <v>16.100000000000001</v>
      </c>
      <c r="E20" s="90"/>
      <c r="F20" s="67">
        <v>16.100000000000001</v>
      </c>
      <c r="G20" s="91" t="s">
        <v>149</v>
      </c>
      <c r="H20" s="88">
        <f>IF(F20="",0,(F20-D20)*10)</f>
        <v>0</v>
      </c>
    </row>
    <row r="21" spans="1:8" outlineLevel="1" x14ac:dyDescent="0.35">
      <c r="A21" s="165" t="str">
        <f>IF(H2&gt;15,"entfällt","TBN")</f>
        <v>entfällt</v>
      </c>
      <c r="B21" s="166"/>
      <c r="C21" s="77"/>
      <c r="D21" s="78" t="str">
        <f ca="1">IF(C21="","",VLOOKUP(C21,INDIRECT($C$57),2,0))</f>
        <v/>
      </c>
      <c r="E21" s="78" t="str">
        <f ca="1">IF(C21="","",VLOOKUP(C21,INDIRECT($C$57),3,0))</f>
        <v/>
      </c>
      <c r="F21" s="42"/>
      <c r="G21" s="71" t="str">
        <f>IF(H2&gt;16,"entfällt","Wert - Abzug")</f>
        <v>entfällt</v>
      </c>
      <c r="H21" s="66">
        <f>IF(A21="entfällt",0,IF(F21="",0,D21-F21))</f>
        <v>0</v>
      </c>
    </row>
    <row r="22" spans="1:8" outlineLevel="1" x14ac:dyDescent="0.35">
      <c r="A22" s="165" t="str">
        <f>IF(H2&gt;15,"entfällt","TBN")</f>
        <v>entfällt</v>
      </c>
      <c r="B22" s="166"/>
      <c r="C22" s="77"/>
      <c r="D22" s="78" t="str">
        <f ca="1">IF(C22="","",VLOOKUP(C22,INDIRECT($C$57),2,0))</f>
        <v/>
      </c>
      <c r="E22" s="78" t="str">
        <f ca="1">IF(C22="","",VLOOKUP(C22,INDIRECT($C$57),3,0))</f>
        <v/>
      </c>
      <c r="F22" s="42"/>
      <c r="G22" s="71" t="str">
        <f>IF(H2&gt;16,"entfällt","Wert - Abzug")</f>
        <v>entfällt</v>
      </c>
      <c r="H22" s="66">
        <f t="shared" ref="H22:H28" si="0">IF(A22="entfällt",0,IF(F22="",0,D22-F22))</f>
        <v>0</v>
      </c>
    </row>
    <row r="23" spans="1:8" outlineLevel="1" x14ac:dyDescent="0.35">
      <c r="A23" s="165" t="str">
        <f>IF(H2&gt;11,"entfällt","TBN")</f>
        <v>entfällt</v>
      </c>
      <c r="B23" s="166"/>
      <c r="C23" s="77"/>
      <c r="D23" s="78" t="str">
        <f ca="1">IF(C23="","",VLOOKUP(C23,INDIRECT($C$57),2,0))</f>
        <v/>
      </c>
      <c r="E23" s="78" t="str">
        <f ca="1">IF(C23="","",VLOOKUP(C23,INDIRECT($C$57),3,0))</f>
        <v/>
      </c>
      <c r="F23" s="42"/>
      <c r="G23" s="71" t="str">
        <f>IF(H2&gt;16,"entfällt","Wert - Abzug")</f>
        <v>entfällt</v>
      </c>
      <c r="H23" s="66">
        <f t="shared" si="0"/>
        <v>0</v>
      </c>
    </row>
    <row r="24" spans="1:8" outlineLevel="1" x14ac:dyDescent="0.35">
      <c r="A24" s="110" t="s">
        <v>147</v>
      </c>
      <c r="B24" s="111"/>
      <c r="C24" s="77" t="s">
        <v>62</v>
      </c>
      <c r="D24" s="78">
        <v>15</v>
      </c>
      <c r="E24" s="78">
        <v>6</v>
      </c>
      <c r="F24" s="42">
        <v>4</v>
      </c>
      <c r="G24" s="71" t="s">
        <v>146</v>
      </c>
      <c r="H24" s="66">
        <f t="shared" si="0"/>
        <v>11</v>
      </c>
    </row>
    <row r="25" spans="1:8" outlineLevel="1" x14ac:dyDescent="0.35">
      <c r="A25" s="110" t="s">
        <v>147</v>
      </c>
      <c r="B25" s="111"/>
      <c r="C25" s="77" t="s">
        <v>64</v>
      </c>
      <c r="D25" s="78">
        <v>15</v>
      </c>
      <c r="E25" s="78">
        <v>6</v>
      </c>
      <c r="F25" s="42">
        <v>4</v>
      </c>
      <c r="G25" s="71" t="s">
        <v>146</v>
      </c>
      <c r="H25" s="66">
        <f t="shared" si="0"/>
        <v>11</v>
      </c>
    </row>
    <row r="26" spans="1:8" outlineLevel="1" x14ac:dyDescent="0.35">
      <c r="A26" s="110" t="s">
        <v>147</v>
      </c>
      <c r="B26" s="111"/>
      <c r="C26" s="77" t="s">
        <v>60</v>
      </c>
      <c r="D26" s="78">
        <v>14</v>
      </c>
      <c r="E26" s="78">
        <v>6</v>
      </c>
      <c r="F26" s="42">
        <v>6</v>
      </c>
      <c r="G26" s="71" t="s">
        <v>146</v>
      </c>
      <c r="H26" s="66">
        <f t="shared" si="0"/>
        <v>8</v>
      </c>
    </row>
    <row r="27" spans="1:8" outlineLevel="1" x14ac:dyDescent="0.35">
      <c r="A27" s="110" t="str">
        <f>IF(H2&gt;11,"TN","entfällt")</f>
        <v>TN</v>
      </c>
      <c r="B27" s="111"/>
      <c r="C27" s="77" t="s">
        <v>66</v>
      </c>
      <c r="D27" s="78">
        <v>16</v>
      </c>
      <c r="E27" s="78">
        <v>6</v>
      </c>
      <c r="F27" s="42">
        <v>6</v>
      </c>
      <c r="G27" s="71" t="str">
        <f>IF(H2&gt;12,"Wert - Abzug","entfällt")</f>
        <v>Wert - Abzug</v>
      </c>
      <c r="H27" s="66">
        <f t="shared" si="0"/>
        <v>10</v>
      </c>
    </row>
    <row r="28" spans="1:8" outlineLevel="1" x14ac:dyDescent="0.35">
      <c r="A28" s="110" t="str">
        <f>IF(H2&gt;15,"TN","entfällt")</f>
        <v>TN</v>
      </c>
      <c r="B28" s="111"/>
      <c r="C28" s="77"/>
      <c r="D28" s="78"/>
      <c r="E28" s="78"/>
      <c r="F28" s="42"/>
      <c r="G28" s="71" t="str">
        <f>IF(H2&gt;16,"Wert - Abzug","entfällt")</f>
        <v>Wert - Abzug</v>
      </c>
      <c r="H28" s="66">
        <f t="shared" si="0"/>
        <v>0</v>
      </c>
    </row>
    <row r="29" spans="1:8" outlineLevel="1" x14ac:dyDescent="0.35">
      <c r="A29" s="110" t="str">
        <f>IF(H2&gt;15,"TN","entfällt")</f>
        <v>TN</v>
      </c>
      <c r="B29" s="111"/>
      <c r="C29" s="77"/>
      <c r="D29" s="78"/>
      <c r="E29" s="78"/>
      <c r="F29" s="42"/>
      <c r="G29" s="71" t="str">
        <f>IF(H2&gt;16,"Wert - Abzug","entfällt")</f>
        <v>Wert - Abzug</v>
      </c>
      <c r="H29" s="66">
        <f>IF(A29="entfällt",0,IF(F29="",0,D29-F29))</f>
        <v>0</v>
      </c>
    </row>
    <row r="30" spans="1:8" outlineLevel="1" x14ac:dyDescent="0.35">
      <c r="A30" s="165" t="str">
        <f>IF($H$2&gt;10,"Verbindung Sprung 1","entfällt")</f>
        <v>Verbindung Sprung 1</v>
      </c>
      <c r="B30" s="166"/>
      <c r="C30" s="40" t="str">
        <f ca="1">IF(A30&lt;&gt;"entfällt",VLOOKUP(1,INDIRECT($C$68),2,0),"")</f>
        <v>803&lt;</v>
      </c>
      <c r="D30" s="40">
        <f ca="1">IF(A30&lt;&gt;"entfällt",VLOOKUP(1,INDIRECT($C$68),3,0),"")</f>
        <v>15</v>
      </c>
      <c r="E30" s="40">
        <f ca="1">IF(A30&lt;&gt;"entfällt",VLOOKUP(1,INDIRECT($C$68),4,0),"")</f>
        <v>3</v>
      </c>
      <c r="F30" s="42">
        <v>3</v>
      </c>
      <c r="G30" s="71" t="str">
        <f>IF(H2&gt;12,"Wert - Abzug","entfällt")</f>
        <v>Wert - Abzug</v>
      </c>
      <c r="H30" s="66"/>
    </row>
    <row r="31" spans="1:8" outlineLevel="1" x14ac:dyDescent="0.35">
      <c r="A31" s="165" t="str">
        <f>IF($H$2&gt;10,"Verbindung Sprung 2","entfällt")</f>
        <v>Verbindung Sprung 2</v>
      </c>
      <c r="B31" s="166"/>
      <c r="C31" s="40" t="str">
        <f ca="1">IF(A31&lt;&gt;"entfällt",VLOOKUP(2,INDIRECT($C$68),2,0),"")</f>
        <v>40&lt;</v>
      </c>
      <c r="D31" s="40">
        <f ca="1">IF(A31&lt;&gt;"entfällt",VLOOKUP(2,INDIRECT($C$68),3,0),"")</f>
        <v>6</v>
      </c>
      <c r="E31" s="40">
        <f ca="1">IF(A31&lt;&gt;"entfällt",VLOOKUP(2,INDIRECT($C$68),4,0),"")</f>
        <v>3</v>
      </c>
      <c r="F31" s="42">
        <v>2</v>
      </c>
      <c r="G31" s="71" t="str">
        <f>IF(H2&gt;12,"Wert - Abzug","entfällt")</f>
        <v>Wert - Abzug</v>
      </c>
      <c r="H31" s="66"/>
    </row>
    <row r="32" spans="1:8" outlineLevel="1" x14ac:dyDescent="0.35">
      <c r="A32" s="165" t="str">
        <f>IF($H$2&gt;10,"Verbindung Sprung 3","entfällt")</f>
        <v>Verbindung Sprung 3</v>
      </c>
      <c r="B32" s="166"/>
      <c r="C32" s="40" t="str">
        <f ca="1">IF(A32&lt;&gt;"entfällt",VLOOKUP(3,INDIRECT($C$68),2,0),"")</f>
        <v>801&lt;</v>
      </c>
      <c r="D32" s="40">
        <f ca="1">IF(A32&lt;&gt;"entfällt",VLOOKUP(3,INDIRECT($C$68),3,0),"")</f>
        <v>13</v>
      </c>
      <c r="E32" s="40">
        <f ca="1">IF(A32&lt;&gt;"entfällt",VLOOKUP(3,INDIRECT($C$68),4,0),"")</f>
        <v>3</v>
      </c>
      <c r="F32" s="42">
        <v>2</v>
      </c>
      <c r="G32" s="71" t="str">
        <f>IF(H2&gt;12,"Wert - Abzug","entfällt")</f>
        <v>Wert - Abzug</v>
      </c>
      <c r="H32" s="66"/>
    </row>
    <row r="33" spans="1:8" outlineLevel="1" x14ac:dyDescent="0.35">
      <c r="A33" s="165" t="str">
        <f>IF($H$2&gt;10,"Verbindung Sprung 4","entfällt")</f>
        <v>Verbindung Sprung 4</v>
      </c>
      <c r="B33" s="166"/>
      <c r="C33" s="40" t="str">
        <f ca="1">IF(A33&lt;&gt;"entfällt",VLOOKUP(4,INDIRECT($C$68),2,0),"")</f>
        <v>40/</v>
      </c>
      <c r="D33" s="40">
        <f ca="1">IF(A33&lt;&gt;"entfällt",VLOOKUP(4,INDIRECT($C$68),3,0),"")</f>
        <v>6</v>
      </c>
      <c r="E33" s="40">
        <f ca="1">IF(A33&lt;&gt;"entfällt",VLOOKUP(4,INDIRECT($C$68),4,0),"")</f>
        <v>3</v>
      </c>
      <c r="F33" s="42">
        <v>1</v>
      </c>
      <c r="G33" s="71" t="str">
        <f>IF(H2&gt;12,"Wert - Abzug","entfällt")</f>
        <v>Wert - Abzug</v>
      </c>
      <c r="H33" s="66"/>
    </row>
    <row r="34" spans="1:8" outlineLevel="1" x14ac:dyDescent="0.35">
      <c r="A34" s="165" t="str">
        <f>IF($H$2&gt;10,"Verbindung Sprung 5","entfällt")</f>
        <v>Verbindung Sprung 5</v>
      </c>
      <c r="B34" s="166"/>
      <c r="C34" s="40" t="str">
        <f ca="1">IF(A34&lt;&gt;"entfällt",VLOOKUP(5,INDIRECT($C$68),2,0),"")</f>
        <v>41/</v>
      </c>
      <c r="D34" s="40">
        <f ca="1">IF(A34&lt;&gt;"entfällt",VLOOKUP(5,INDIRECT($C$68),3,0),"")</f>
        <v>6</v>
      </c>
      <c r="E34" s="40">
        <f ca="1">IF(A34&lt;&gt;"entfällt",VLOOKUP(5,INDIRECT($C$68),4,0),"")</f>
        <v>3</v>
      </c>
      <c r="F34" s="42">
        <v>2</v>
      </c>
      <c r="G34" s="71" t="str">
        <f>IF(H2&gt;12,"Wert - Abzug","entfällt")</f>
        <v>Wert - Abzug</v>
      </c>
      <c r="H34" s="66"/>
    </row>
    <row r="35" spans="1:8" ht="15" outlineLevel="1" thickBot="1" x14ac:dyDescent="0.4">
      <c r="A35" s="171" t="str">
        <f>IF($H$2&gt;10,"Verbindung Sprung 6","entfällt")</f>
        <v>Verbindung Sprung 6</v>
      </c>
      <c r="B35" s="172"/>
      <c r="C35" s="68" t="str">
        <f ca="1">IF(A35&lt;&gt;"entfällt",VLOOKUP(6,INDIRECT($C$68),2,0),"")</f>
        <v>811°</v>
      </c>
      <c r="D35" s="68">
        <f ca="1">IF(A35&lt;&gt;"entfällt",VLOOKUP(6,INDIRECT($C$68),3,0),"")</f>
        <v>12</v>
      </c>
      <c r="E35" s="68">
        <f ca="1">IF(A35&lt;&gt;"entfällt",VLOOKUP(6,INDIRECT($C$68),4,0),"")</f>
        <v>3</v>
      </c>
      <c r="F35" s="69">
        <v>3</v>
      </c>
      <c r="G35" s="72" t="str">
        <f>IF(H2&gt;12,"Wert - Abzug","entfällt")</f>
        <v>Wert - Abzug</v>
      </c>
      <c r="H35" s="70">
        <f>30-F30-F31-F32-F33-F34-F35</f>
        <v>17</v>
      </c>
    </row>
    <row r="36" spans="1:8" ht="15" thickBot="1" x14ac:dyDescent="0.4">
      <c r="A36" s="173" t="s">
        <v>41</v>
      </c>
      <c r="B36" s="174"/>
      <c r="C36" s="174"/>
      <c r="D36" s="174"/>
      <c r="E36" s="174"/>
      <c r="F36" s="174"/>
      <c r="G36" s="175"/>
      <c r="H36" s="89">
        <f>SUM(H20:H35)</f>
        <v>57</v>
      </c>
    </row>
    <row r="37" spans="1:8" ht="15" outlineLevel="1" thickBot="1" x14ac:dyDescent="0.4">
      <c r="A37" s="181" t="s">
        <v>99</v>
      </c>
      <c r="B37" s="182"/>
      <c r="C37" s="182"/>
      <c r="D37" s="183"/>
      <c r="E37" s="85" t="s">
        <v>27</v>
      </c>
      <c r="F37" s="85" t="s">
        <v>237</v>
      </c>
      <c r="G37" s="86" t="s">
        <v>28</v>
      </c>
      <c r="H37" s="49" t="s">
        <v>234</v>
      </c>
    </row>
    <row r="38" spans="1:8" outlineLevel="1" x14ac:dyDescent="0.35">
      <c r="A38" s="179" t="str">
        <f ca="1">VLOOKUP(1,INDIRECT($C$65),2,0)</f>
        <v>Salto vorwärts gehockt aus dem Stand</v>
      </c>
      <c r="B38" s="180"/>
      <c r="C38" s="180"/>
      <c r="D38" s="180"/>
      <c r="E38" s="92">
        <f ca="1">VLOOKUP(1,INDIRECT($C$65),3,0)</f>
        <v>5</v>
      </c>
      <c r="F38" s="79"/>
      <c r="G38" s="80" t="s">
        <v>146</v>
      </c>
      <c r="H38" s="84">
        <f ca="1">IF(E38=" ","",IF(F38="",0,E38-F38))</f>
        <v>0</v>
      </c>
    </row>
    <row r="39" spans="1:8" outlineLevel="1" x14ac:dyDescent="0.35">
      <c r="A39" s="163" t="str">
        <f ca="1">VLOOKUP(2,INDIRECT($C$65),2,0)</f>
        <v>Vorspreizen, Bestellschritt, Strecksprung 3/2 Drehung</v>
      </c>
      <c r="B39" s="164"/>
      <c r="C39" s="164"/>
      <c r="D39" s="164"/>
      <c r="E39" s="87">
        <f ca="1">VLOOKUP(2,INDIRECT($C$65),3,0)</f>
        <v>3</v>
      </c>
      <c r="F39" s="43"/>
      <c r="G39" s="81" t="s">
        <v>146</v>
      </c>
      <c r="H39" s="84">
        <f t="shared" ref="H39:H49" ca="1" si="1">IF(E39=" ","",IF(F39="",0,E39-F39))</f>
        <v>0</v>
      </c>
    </row>
    <row r="40" spans="1:8" outlineLevel="1" x14ac:dyDescent="0.35">
      <c r="A40" s="163" t="str">
        <f ca="1">VLOOKUP(3,INDIRECT($C$65),2,0)</f>
        <v>Rolle rückwärts durch Handstand mit 1/2 Drehung</v>
      </c>
      <c r="B40" s="164"/>
      <c r="C40" s="164"/>
      <c r="D40" s="164"/>
      <c r="E40" s="87">
        <f ca="1">VLOOKUP(3,INDIRECT($C$65),3,0)</f>
        <v>4</v>
      </c>
      <c r="F40" s="43"/>
      <c r="G40" s="81" t="s">
        <v>146</v>
      </c>
      <c r="H40" s="84">
        <f t="shared" ca="1" si="1"/>
        <v>0</v>
      </c>
    </row>
    <row r="41" spans="1:8" outlineLevel="1" x14ac:dyDescent="0.35">
      <c r="A41" s="163" t="str">
        <f ca="1">VLOOKUP(4,INDIRECT($C$65),2,0)</f>
        <v>--&gt; Strecksprung --&gt; Salto vorwärts gehockt</v>
      </c>
      <c r="B41" s="164"/>
      <c r="C41" s="164"/>
      <c r="D41" s="164"/>
      <c r="E41" s="87">
        <f ca="1">VLOOKUP(4,INDIRECT($C$65),3,0)</f>
        <v>4</v>
      </c>
      <c r="F41" s="43"/>
      <c r="G41" s="81" t="s">
        <v>146</v>
      </c>
      <c r="H41" s="84">
        <f t="shared" ca="1" si="1"/>
        <v>0</v>
      </c>
    </row>
    <row r="42" spans="1:8" outlineLevel="1" x14ac:dyDescent="0.35">
      <c r="A42" s="163" t="str">
        <f ca="1">VLOOKUP(5,INDIRECT($C$65),2,0)</f>
        <v>Wiener, 1/2 Drehung, absenken zum Stand</v>
      </c>
      <c r="B42" s="164"/>
      <c r="C42" s="164"/>
      <c r="D42" s="164"/>
      <c r="E42" s="87">
        <f ca="1">VLOOKUP(5,INDIRECT($C$65),3,0)</f>
        <v>4</v>
      </c>
      <c r="F42" s="43"/>
      <c r="G42" s="81" t="s">
        <v>146</v>
      </c>
      <c r="H42" s="84">
        <f t="shared" ca="1" si="1"/>
        <v>0</v>
      </c>
    </row>
    <row r="43" spans="1:8" outlineLevel="1" x14ac:dyDescent="0.35">
      <c r="A43" s="163" t="str">
        <f ca="1">VLOOKUP(6,INDIRECT($C$65),2,0)</f>
        <v>Handstand mit zwei Hüpfern, abrollen</v>
      </c>
      <c r="B43" s="164"/>
      <c r="C43" s="164"/>
      <c r="D43" s="164"/>
      <c r="E43" s="87">
        <f ca="1">VLOOKUP(6,INDIRECT($C$65),3,0)</f>
        <v>2</v>
      </c>
      <c r="F43" s="43"/>
      <c r="G43" s="81" t="s">
        <v>146</v>
      </c>
      <c r="H43" s="84">
        <f t="shared" ca="1" si="1"/>
        <v>0</v>
      </c>
    </row>
    <row r="44" spans="1:8" outlineLevel="1" x14ac:dyDescent="0.35">
      <c r="A44" s="163" t="str">
        <f ca="1">VLOOKUP(7,INDIRECT($C$65),2,0)</f>
        <v>--&gt; aufstehen mit gestreckten Beinen</v>
      </c>
      <c r="B44" s="164"/>
      <c r="C44" s="164"/>
      <c r="D44" s="164"/>
      <c r="E44" s="87">
        <f ca="1">VLOOKUP(7,INDIRECT($C$65),3,0)</f>
        <v>3</v>
      </c>
      <c r="F44" s="43"/>
      <c r="G44" s="81" t="s">
        <v>146</v>
      </c>
      <c r="H44" s="84">
        <f t="shared" ca="1" si="1"/>
        <v>0</v>
      </c>
    </row>
    <row r="45" spans="1:8" outlineLevel="1" x14ac:dyDescent="0.35">
      <c r="A45" s="163" t="str">
        <f ca="1">VLOOKUP(8,INDIRECT($C$65),2,0)</f>
        <v>Salto rückwärts gebückt</v>
      </c>
      <c r="B45" s="164"/>
      <c r="C45" s="164"/>
      <c r="D45" s="164"/>
      <c r="E45" s="87">
        <f ca="1">VLOOKUP(8,INDIRECT($C$65),3,0)</f>
        <v>5</v>
      </c>
      <c r="F45" s="43"/>
      <c r="G45" s="81" t="s">
        <v>146</v>
      </c>
      <c r="H45" s="84">
        <f t="shared" ca="1" si="1"/>
        <v>0</v>
      </c>
    </row>
    <row r="46" spans="1:8" outlineLevel="1" x14ac:dyDescent="0.35">
      <c r="A46" s="163" t="str">
        <f ca="1">VLOOKUP(9,INDIRECT($C$65),2,0)</f>
        <v xml:space="preserve"> </v>
      </c>
      <c r="B46" s="164"/>
      <c r="C46" s="164"/>
      <c r="D46" s="164"/>
      <c r="E46" s="87" t="str">
        <f ca="1">VLOOKUP(9,INDIRECT($C$65),3,0)</f>
        <v xml:space="preserve"> </v>
      </c>
      <c r="F46" s="43"/>
      <c r="G46" s="81" t="str">
        <f>IF(H2&gt;16,"","Wert - Abzug")</f>
        <v/>
      </c>
      <c r="H46" s="84" t="str">
        <f t="shared" ca="1" si="1"/>
        <v/>
      </c>
    </row>
    <row r="47" spans="1:8" outlineLevel="1" x14ac:dyDescent="0.35">
      <c r="A47" s="163" t="str">
        <f ca="1">VLOOKUP(10,INDIRECT($C$65),2,0)</f>
        <v xml:space="preserve"> </v>
      </c>
      <c r="B47" s="164"/>
      <c r="C47" s="164"/>
      <c r="D47" s="164"/>
      <c r="E47" s="87" t="str">
        <f ca="1">VLOOKUP(10,INDIRECT($C$65),3,0)</f>
        <v xml:space="preserve"> </v>
      </c>
      <c r="F47" s="43"/>
      <c r="G47" s="81" t="str">
        <f>IF(H2&gt;16,"","Wert - Abzug")</f>
        <v/>
      </c>
      <c r="H47" s="84" t="str">
        <f t="shared" ca="1" si="1"/>
        <v/>
      </c>
    </row>
    <row r="48" spans="1:8" outlineLevel="1" x14ac:dyDescent="0.35">
      <c r="A48" s="163" t="str">
        <f ca="1">VLOOKUP(11,INDIRECT($C$65),2,0)</f>
        <v xml:space="preserve"> </v>
      </c>
      <c r="B48" s="164"/>
      <c r="C48" s="164"/>
      <c r="D48" s="164"/>
      <c r="E48" s="87" t="str">
        <f ca="1">VLOOKUP(11,INDIRECT($C$65),3,0)</f>
        <v xml:space="preserve"> </v>
      </c>
      <c r="F48" s="43"/>
      <c r="G48" s="81" t="str">
        <f>IF(H2&gt;13,"","Wert - Abzug")</f>
        <v/>
      </c>
      <c r="H48" s="84" t="str">
        <f t="shared" ca="1" si="1"/>
        <v/>
      </c>
    </row>
    <row r="49" spans="1:8" ht="15" outlineLevel="1" thickBot="1" x14ac:dyDescent="0.4">
      <c r="A49" s="184" t="str">
        <f ca="1">VLOOKUP(12,INDIRECT($C$65),2,0)</f>
        <v xml:space="preserve"> </v>
      </c>
      <c r="B49" s="185"/>
      <c r="C49" s="185"/>
      <c r="D49" s="185"/>
      <c r="E49" s="93" t="str">
        <f ca="1">VLOOKUP(12,INDIRECT($C$65),3,0)</f>
        <v xml:space="preserve"> </v>
      </c>
      <c r="F49" s="82"/>
      <c r="G49" s="83" t="str">
        <f>IF(OR(H2=9,H2=12,H2=13),"Wert - Abzug","")</f>
        <v/>
      </c>
      <c r="H49" s="84" t="str">
        <f t="shared" ca="1" si="1"/>
        <v/>
      </c>
    </row>
    <row r="50" spans="1:8" ht="15" thickBot="1" x14ac:dyDescent="0.4">
      <c r="A50" s="176" t="s">
        <v>98</v>
      </c>
      <c r="B50" s="177"/>
      <c r="C50" s="177"/>
      <c r="D50" s="177"/>
      <c r="E50" s="177"/>
      <c r="F50" s="177"/>
      <c r="G50" s="178"/>
      <c r="H50" s="44">
        <f ca="1">SUM(H38:H49)</f>
        <v>0</v>
      </c>
    </row>
    <row r="51" spans="1:8" ht="16" thickBot="1" x14ac:dyDescent="0.4">
      <c r="A51" s="169" t="s">
        <v>42</v>
      </c>
      <c r="B51" s="170"/>
      <c r="C51" s="170"/>
      <c r="D51" s="170"/>
      <c r="E51" s="170"/>
      <c r="F51" s="170"/>
      <c r="G51" s="170"/>
      <c r="H51" s="94">
        <f ca="1">SUM(H9,H18,H36,H50)</f>
        <v>114</v>
      </c>
    </row>
    <row r="52" spans="1:8" s="23" customFormat="1" x14ac:dyDescent="0.35">
      <c r="D52" s="50"/>
      <c r="E52" s="50"/>
      <c r="F52" s="50"/>
      <c r="G52" s="50"/>
    </row>
    <row r="53" spans="1:8" s="23" customFormat="1" hidden="1" x14ac:dyDescent="0.35">
      <c r="C53" s="24"/>
      <c r="D53" s="50"/>
      <c r="E53" s="50"/>
      <c r="F53" s="50"/>
      <c r="G53" s="50"/>
    </row>
    <row r="54" spans="1:8" s="23" customFormat="1" hidden="1" x14ac:dyDescent="0.35">
      <c r="B54" s="23" t="s">
        <v>249</v>
      </c>
      <c r="C54" s="23" t="str">
        <f>IF(H2&lt;13,"beide",F1)</f>
        <v>weiblich</v>
      </c>
      <c r="D54" s="50"/>
      <c r="E54" s="50"/>
      <c r="F54" s="50"/>
      <c r="G54" s="50"/>
    </row>
    <row r="55" spans="1:8" s="23" customFormat="1" hidden="1" x14ac:dyDescent="0.35">
      <c r="B55" s="23" t="s">
        <v>3</v>
      </c>
      <c r="C55" s="23">
        <f>IF(OR(H2=8,H2=11),H2,IF(H2&lt;11,"9_10",IF(H2&lt;14,"12_13",IF(H2&lt;16,"14_15",IF(H2&lt;18,"16_17",18)))))</f>
        <v>18</v>
      </c>
      <c r="D55" s="50"/>
      <c r="E55" s="50"/>
      <c r="F55" s="50"/>
      <c r="G55" s="50"/>
    </row>
    <row r="56" spans="1:8" s="23" customFormat="1" hidden="1" x14ac:dyDescent="0.35">
      <c r="D56" s="50"/>
      <c r="E56" s="50"/>
      <c r="F56" s="50"/>
      <c r="G56" s="50"/>
    </row>
    <row r="57" spans="1:8" s="23" customFormat="1" hidden="1" x14ac:dyDescent="0.35">
      <c r="B57" s="23" t="s">
        <v>251</v>
      </c>
      <c r="C57" s="23" t="str">
        <f>"TBN_"&amp;C54&amp;"_"&amp;C55</f>
        <v>TBN_weiblich_18</v>
      </c>
      <c r="D57" s="50"/>
      <c r="E57" s="50"/>
      <c r="F57" s="50"/>
      <c r="G57" s="50"/>
    </row>
    <row r="58" spans="1:8" s="23" customFormat="1" hidden="1" x14ac:dyDescent="0.35">
      <c r="C58" s="23" t="str">
        <f>C57&amp;"[Beschreibung]"</f>
        <v>TBN_weiblich_18[Beschreibung]</v>
      </c>
      <c r="D58" s="50"/>
      <c r="E58" s="50"/>
      <c r="F58" s="50"/>
      <c r="G58" s="50"/>
    </row>
    <row r="59" spans="1:8" s="23" customFormat="1" hidden="1" x14ac:dyDescent="0.35">
      <c r="D59" s="50"/>
      <c r="E59" s="50"/>
      <c r="F59" s="50"/>
      <c r="G59" s="50"/>
    </row>
    <row r="60" spans="1:8" s="23" customFormat="1" hidden="1" x14ac:dyDescent="0.35">
      <c r="B60" s="23" t="s">
        <v>147</v>
      </c>
      <c r="C60" s="23" t="str">
        <f>"TN_"&amp;C54&amp;"_"&amp;C55</f>
        <v>TN_weiblich_18</v>
      </c>
      <c r="D60" s="50"/>
      <c r="E60" s="50"/>
      <c r="F60" s="50"/>
      <c r="G60" s="50"/>
    </row>
    <row r="61" spans="1:8" s="23" customFormat="1" hidden="1" x14ac:dyDescent="0.35">
      <c r="C61" s="23" t="str">
        <f>C60&amp;"[Beschreibung]"</f>
        <v>TN_weiblich_18[Beschreibung]</v>
      </c>
      <c r="D61" s="50"/>
      <c r="E61" s="50"/>
      <c r="F61" s="50"/>
      <c r="G61" s="50"/>
    </row>
    <row r="62" spans="1:8" s="23" customFormat="1" hidden="1" x14ac:dyDescent="0.35">
      <c r="D62" s="50"/>
      <c r="E62" s="50"/>
      <c r="F62" s="50"/>
      <c r="G62" s="50"/>
    </row>
    <row r="63" spans="1:8" s="23" customFormat="1" hidden="1" x14ac:dyDescent="0.35">
      <c r="B63" s="23" t="s">
        <v>17</v>
      </c>
      <c r="C63" s="23" t="str">
        <f>"TV_"&amp;F1&amp;"_"&amp;C55</f>
        <v>TV_weiblich_18</v>
      </c>
      <c r="D63" s="50"/>
      <c r="E63" s="50"/>
      <c r="F63" s="50"/>
      <c r="G63" s="50"/>
    </row>
    <row r="64" spans="1:8" s="23" customFormat="1" hidden="1" x14ac:dyDescent="0.35">
      <c r="D64" s="50"/>
      <c r="E64" s="50"/>
      <c r="F64" s="50"/>
      <c r="G64" s="50"/>
    </row>
    <row r="65" spans="2:7" s="23" customFormat="1" hidden="1" x14ac:dyDescent="0.35">
      <c r="B65" s="23" t="s">
        <v>252</v>
      </c>
      <c r="C65" s="23" t="str">
        <f>"BKÜ"&amp;IF(H2=9,"_9",IF(H2&lt;12,"_10_11",IF(H2&lt;14,"_12_13",IF(H2&lt;17,"_14_16","_17"))))</f>
        <v>BKÜ_17</v>
      </c>
      <c r="D65" s="50"/>
      <c r="E65" s="50"/>
      <c r="F65" s="50"/>
      <c r="G65" s="50"/>
    </row>
    <row r="66" spans="2:7" s="23" customFormat="1" hidden="1" x14ac:dyDescent="0.35">
      <c r="D66" s="50"/>
      <c r="E66" s="50"/>
      <c r="F66" s="50"/>
      <c r="G66" s="50"/>
    </row>
    <row r="67" spans="2:7" s="23" customFormat="1" hidden="1" x14ac:dyDescent="0.35">
      <c r="B67" s="23" t="s">
        <v>250</v>
      </c>
      <c r="C67" s="23" t="str">
        <f>IF(H2&lt;17,"beide",F1)</f>
        <v>weiblich</v>
      </c>
      <c r="D67" s="50"/>
      <c r="E67" s="50"/>
      <c r="F67" s="50"/>
      <c r="G67" s="50"/>
    </row>
    <row r="68" spans="2:7" s="23" customFormat="1" hidden="1" x14ac:dyDescent="0.35">
      <c r="B68" s="23" t="s">
        <v>17</v>
      </c>
      <c r="C68" s="23" t="str">
        <f>"TV_"&amp;C67&amp;"_"&amp;C55</f>
        <v>TV_weiblich_18</v>
      </c>
      <c r="D68" s="50"/>
      <c r="E68" s="50"/>
      <c r="F68" s="50"/>
      <c r="G68" s="50"/>
    </row>
    <row r="69" spans="2:7" x14ac:dyDescent="0.35"/>
    <row r="70" spans="2:7" x14ac:dyDescent="0.35"/>
  </sheetData>
  <sheetProtection selectLockedCells="1"/>
  <protectedRanges>
    <protectedRange sqref="H1:H2 F1:F2 B1:B2" name="Athletendaten"/>
    <protectedRange sqref="F38:F49 C20:F35 D69:E440 C69:C441 F4:F8 C38:E68 C11:E16 F11:F17" name="Werte und Varianten"/>
    <protectedRange algorithmName="SHA-512" hashValue="EtPG7jm6pk6JVG08ToKZL4Sto4PS6TOUsygvFmj6DTfcGnX6DwKdfjTEg/2X1Hwnu/CwfNhBUSnXKs/oLqcupQ==" saltValue="sPse4fdTsI5OFESYvRIl8Q==" spinCount="100000" sqref="H4:H8 H38:H49 H20:H35 H11:H17" name="Punktzahlen"/>
  </protectedRanges>
  <mergeCells count="44">
    <mergeCell ref="A12:E12"/>
    <mergeCell ref="B1:E1"/>
    <mergeCell ref="B2:F2"/>
    <mergeCell ref="A3:E3"/>
    <mergeCell ref="A4:E4"/>
    <mergeCell ref="A5:E5"/>
    <mergeCell ref="A6:E6"/>
    <mergeCell ref="A7:E7"/>
    <mergeCell ref="A8:E8"/>
    <mergeCell ref="A9:G9"/>
    <mergeCell ref="A10:E10"/>
    <mergeCell ref="A11:E11"/>
    <mergeCell ref="A31:B31"/>
    <mergeCell ref="A13:E13"/>
    <mergeCell ref="A14:E14"/>
    <mergeCell ref="A15:E15"/>
    <mergeCell ref="A16:E16"/>
    <mergeCell ref="A18:G18"/>
    <mergeCell ref="A19:C19"/>
    <mergeCell ref="A20:B20"/>
    <mergeCell ref="A21:B21"/>
    <mergeCell ref="A22:B22"/>
    <mergeCell ref="A23:B23"/>
    <mergeCell ref="A30:B30"/>
    <mergeCell ref="A43:D43"/>
    <mergeCell ref="A32:B32"/>
    <mergeCell ref="A33:B33"/>
    <mergeCell ref="A34:B34"/>
    <mergeCell ref="A35:B35"/>
    <mergeCell ref="A36:G36"/>
    <mergeCell ref="A37:D37"/>
    <mergeCell ref="A38:D38"/>
    <mergeCell ref="A39:D39"/>
    <mergeCell ref="A40:D40"/>
    <mergeCell ref="A41:D41"/>
    <mergeCell ref="A42:D42"/>
    <mergeCell ref="A50:G50"/>
    <mergeCell ref="A51:G51"/>
    <mergeCell ref="A44:D44"/>
    <mergeCell ref="A45:D45"/>
    <mergeCell ref="A46:D46"/>
    <mergeCell ref="A47:D47"/>
    <mergeCell ref="A48:D48"/>
    <mergeCell ref="A49:D49"/>
  </mergeCells>
  <conditionalFormatting sqref="F46:F49">
    <cfRule type="expression" dxfId="247" priority="3">
      <formula>$A46=" "</formula>
    </cfRule>
  </conditionalFormatting>
  <conditionalFormatting sqref="B24:B29 C21:E29">
    <cfRule type="expression" dxfId="246" priority="2">
      <formula>$A21="entfällt"</formula>
    </cfRule>
    <cfRule type="expression" dxfId="245" priority="4">
      <formula>$H$2&gt;14</formula>
    </cfRule>
  </conditionalFormatting>
  <conditionalFormatting sqref="B24:B29">
    <cfRule type="expression" dxfId="244" priority="1">
      <formula>AND($A24="TN",$C24&lt;&gt;"")</formula>
    </cfRule>
  </conditionalFormatting>
  <dataValidations count="19">
    <dataValidation type="decimal" errorStyle="warning" allowBlank="1" showInputMessage="1" showErrorMessage="1" error="Eingegebener Abzug überschreitet maximal zulässigen Abzug, Wert bitte überprüfen!" sqref="F21:F35" xr:uid="{74EC2E87-693D-4BA5-8BEF-0E59FC05FF19}">
      <formula1>0</formula1>
      <formula2>$E21</formula2>
    </dataValidation>
    <dataValidation type="list" allowBlank="1" showInputMessage="1" showErrorMessage="1" sqref="C20" xr:uid="{812C6806-5259-4C81-AC7F-BB1D1A0B600D}">
      <formula1>"Lichtschranke,Druckmessplatte"</formula1>
    </dataValidation>
    <dataValidation type="whole" allowBlank="1" showInputMessage="1" showErrorMessage="1" errorTitle="Falsche Eingabe" error="Bitte Wert prüfen" sqref="D17" xr:uid="{E852B2BC-EDD2-4D06-B4A0-901B474E513E}">
      <formula1>1</formula1>
      <formula2>13</formula2>
    </dataValidation>
    <dataValidation type="list" allowBlank="1" showInputMessage="1" sqref="C24:C29" xr:uid="{8219F0D6-DFF9-4EA5-9A2F-59E08E1078FF}">
      <formula1>INDIRECT($C$61)</formula1>
    </dataValidation>
    <dataValidation type="list" allowBlank="1" showInputMessage="1" sqref="C21:C23" xr:uid="{43548330-162B-4FCD-B91D-B0BE1CEC113A}">
      <formula1>INDIRECT($C$58)</formula1>
    </dataValidation>
    <dataValidation allowBlank="1" showInputMessage="1" showErrorMessage="1" prompt="Anzahl der Wiederholungen" sqref="F11" xr:uid="{E081AE4D-22B2-4F60-B606-2EFF66B7B715}"/>
    <dataValidation type="whole" allowBlank="1" showInputMessage="1" showErrorMessage="1" prompt="Abstand von der Oberkante des Turnhockers zur schlechtesten Fingerspitze in cm" sqref="F6" xr:uid="{D1B6C379-5400-4615-9732-B222F267195B}">
      <formula1>-50</formula1>
      <formula2>50</formula2>
    </dataValidation>
    <dataValidation type="list" allowBlank="1" showInputMessage="1" showErrorMessage="1" prompt="Punktzahl nach Vergleich mit Bild" sqref="F5" xr:uid="{FF0974B0-2382-47BA-AED5-A41CF240E3A0}">
      <formula1>"0,2,6,10"</formula1>
    </dataValidation>
    <dataValidation type="whole" allowBlank="1" showErrorMessage="1" errorTitle="Falsche Eingabe" error="Bitte Wert prüfen" prompt="Höchste erreichte Stufe" sqref="F17" xr:uid="{458C4879-4943-471D-8663-735A424FFEE6}">
      <formula1>1</formula1>
      <formula2>11</formula2>
    </dataValidation>
    <dataValidation allowBlank="1" sqref="D20:E20" xr:uid="{CC582135-BDFE-4E78-93DB-7CBFD4597434}"/>
    <dataValidation type="decimal" errorStyle="warning" allowBlank="1" showInputMessage="1" showErrorMessage="1" error="Abzug höher als Wert des Elements, bitte überprüfen!" prompt="Abzug" sqref="F38:F49" xr:uid="{4E91A583-B207-4B73-9D40-B121AA2563C2}">
      <formula1>0</formula1>
      <formula2>$E38</formula2>
    </dataValidation>
    <dataValidation type="whole" allowBlank="1" showInputMessage="1" showErrorMessage="1" prompt="AKs 9 - 13: Übersprungene Kästchen_x000a__x000a_AKs 14 - 21: Anzahl Saltos" sqref="F15" xr:uid="{8B6BFED5-094D-416C-AB64-5CCB99A3A491}">
      <formula1>0</formula1>
      <formula2>50</formula2>
    </dataValidation>
    <dataValidation type="list" allowBlank="1" showInputMessage="1" showErrorMessage="1" sqref="F1" xr:uid="{9DA450DB-E6C3-496F-AF83-411E5601775C}">
      <formula1>"männlich,weiblich"</formula1>
    </dataValidation>
    <dataValidation type="whole" allowBlank="1" showInputMessage="1" showErrorMessage="1" sqref="H4:H8" xr:uid="{8BF20979-F379-4E52-A4B0-FFB6F48F2972}">
      <formula1>0</formula1>
      <formula2>10</formula2>
    </dataValidation>
    <dataValidation type="whole" allowBlank="1" showInputMessage="1" showErrorMessage="1" prompt="Haltezeit in Sekunden" sqref="F13" xr:uid="{34941523-1D8E-4165-AF6B-B9A0F6E64076}">
      <formula1>0</formula1>
      <formula2>200</formula2>
    </dataValidation>
    <dataValidation type="whole" allowBlank="1" showInputMessage="1" showErrorMessage="1" prompt="Haltezeit in Sekunden" sqref="F16" xr:uid="{412A4D30-1C64-4657-AD5E-BDAD04DEF81D}">
      <formula1>0</formula1>
      <formula2>100</formula2>
    </dataValidation>
    <dataValidation type="whole" allowBlank="1" showInputMessage="1" showErrorMessage="1" prompt="Anzahl der Wiederholungen" sqref="F14 F12" xr:uid="{1B9A1F35-6D62-4BAA-999D-E81A0B160EF1}">
      <formula1>0</formula1>
      <formula2>50</formula2>
    </dataValidation>
    <dataValidation type="list" operator="equal" allowBlank="1" showInputMessage="1" showErrorMessage="1" prompt="Punktzahl nach Vergleich mit Bild" sqref="F4" xr:uid="{3A506F22-177C-428D-9FC7-FFB769A3E225}">
      <formula1>"0,2,6,10"</formula1>
    </dataValidation>
    <dataValidation type="decimal" errorStyle="warning" showDropDown="1" showErrorMessage="1" error="Wert unrealistisch hoch, bitte Eingabe überprüfen" promptTitle="Vorsicht" sqref="F20" xr:uid="{CF835B0C-44D1-47D4-9376-27E5A6C4C045}">
      <formula1>0</formula1>
      <formula2>30</formula2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Bitte Werte aus Dropdown auswählen" prompt="Abstand vom Boden laut Schablone" xr:uid="{05D55806-51F9-4131-8133-23104D74E2A5}">
          <x14:formula1>
            <xm:f>Punktetabellen!$A$3:$A$6</xm:f>
          </x14:formula1>
          <xm:sqref>F7:F8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76E00-E624-4157-B872-59DBAF3F8092}">
  <sheetPr codeName="Tabelle27">
    <tabColor indexed="47"/>
    <pageSetUpPr fitToPage="1"/>
  </sheetPr>
  <dimension ref="A1:J70"/>
  <sheetViews>
    <sheetView zoomScale="85" zoomScaleNormal="85" workbookViewId="0">
      <pane ySplit="2" topLeftCell="A3" activePane="bottomLeft" state="frozen"/>
      <selection sqref="A1:H1"/>
      <selection pane="bottomLeft" activeCell="F8" sqref="F8"/>
    </sheetView>
  </sheetViews>
  <sheetFormatPr baseColWidth="10" defaultColWidth="0" defaultRowHeight="14.5" zeroHeight="1" outlineLevelRow="1" x14ac:dyDescent="0.35"/>
  <cols>
    <col min="1" max="1" width="11.453125" customWidth="1"/>
    <col min="2" max="2" width="12.1796875" customWidth="1"/>
    <col min="3" max="3" width="44.81640625" bestFit="1" customWidth="1"/>
    <col min="4" max="5" width="11.453125" style="149" customWidth="1"/>
    <col min="6" max="6" width="16.1796875" style="149" bestFit="1" customWidth="1"/>
    <col min="7" max="7" width="13.81640625" style="149" customWidth="1"/>
    <col min="8" max="8" width="11.453125" customWidth="1"/>
    <col min="9" max="9" width="6.1796875" style="23" hidden="1" customWidth="1"/>
    <col min="10" max="10" width="0" hidden="1" customWidth="1"/>
    <col min="11" max="16384" width="11.453125" hidden="1"/>
  </cols>
  <sheetData>
    <row r="1" spans="1:8" ht="15.5" x14ac:dyDescent="0.35">
      <c r="A1" s="16" t="s">
        <v>1</v>
      </c>
      <c r="B1" s="186" t="s">
        <v>379</v>
      </c>
      <c r="C1" s="187"/>
      <c r="D1" s="187"/>
      <c r="E1" s="188"/>
      <c r="F1" s="51" t="s">
        <v>97</v>
      </c>
      <c r="G1" s="61" t="s">
        <v>24</v>
      </c>
      <c r="H1" s="63">
        <v>2002</v>
      </c>
    </row>
    <row r="2" spans="1:8" ht="16" thickBot="1" x14ac:dyDescent="0.4">
      <c r="A2" s="17" t="s">
        <v>4</v>
      </c>
      <c r="B2" s="198"/>
      <c r="C2" s="199"/>
      <c r="D2" s="199"/>
      <c r="E2" s="199"/>
      <c r="F2" s="200"/>
      <c r="G2" s="62" t="s">
        <v>3</v>
      </c>
      <c r="H2" s="64">
        <f>2022-H1</f>
        <v>20</v>
      </c>
    </row>
    <row r="3" spans="1:8" ht="15" outlineLevel="1" thickBot="1" x14ac:dyDescent="0.4">
      <c r="A3" s="189" t="s">
        <v>26</v>
      </c>
      <c r="B3" s="190"/>
      <c r="C3" s="190"/>
      <c r="D3" s="190"/>
      <c r="E3" s="191"/>
      <c r="F3" s="46" t="s">
        <v>27</v>
      </c>
      <c r="G3" s="47" t="s">
        <v>28</v>
      </c>
      <c r="H3" s="22" t="s">
        <v>234</v>
      </c>
    </row>
    <row r="4" spans="1:8" outlineLevel="1" x14ac:dyDescent="0.35">
      <c r="A4" s="192" t="s">
        <v>30</v>
      </c>
      <c r="B4" s="193"/>
      <c r="C4" s="193"/>
      <c r="D4" s="193"/>
      <c r="E4" s="194"/>
      <c r="F4" s="25"/>
      <c r="G4" s="55" t="s">
        <v>32</v>
      </c>
      <c r="H4" s="34">
        <f>F4</f>
        <v>0</v>
      </c>
    </row>
    <row r="5" spans="1:8" outlineLevel="1" x14ac:dyDescent="0.35">
      <c r="A5" s="195" t="s">
        <v>85</v>
      </c>
      <c r="B5" s="196"/>
      <c r="C5" s="196"/>
      <c r="D5" s="196"/>
      <c r="E5" s="197"/>
      <c r="F5" s="14"/>
      <c r="G5" s="56" t="s">
        <v>32</v>
      </c>
      <c r="H5" s="35">
        <f>F5</f>
        <v>0</v>
      </c>
    </row>
    <row r="6" spans="1:8" outlineLevel="1" x14ac:dyDescent="0.35">
      <c r="A6" s="195" t="s">
        <v>33</v>
      </c>
      <c r="B6" s="196"/>
      <c r="C6" s="196"/>
      <c r="D6" s="196"/>
      <c r="E6" s="197"/>
      <c r="F6" s="14"/>
      <c r="G6" s="56" t="s">
        <v>31</v>
      </c>
      <c r="H6" s="35">
        <f>IF(F6="",0,VLOOKUP(F6,Punktetabellen!A10:B15,2,1))</f>
        <v>0</v>
      </c>
    </row>
    <row r="7" spans="1:8" outlineLevel="1" x14ac:dyDescent="0.35">
      <c r="A7" s="195" t="s">
        <v>34</v>
      </c>
      <c r="B7" s="196"/>
      <c r="C7" s="196"/>
      <c r="D7" s="196"/>
      <c r="E7" s="197"/>
      <c r="F7" s="14"/>
      <c r="G7" s="56" t="s">
        <v>31</v>
      </c>
      <c r="H7" s="35">
        <f>IF(F7="",0,VLOOKUP(F7,Punktetabellen!A3:B6,2,0))</f>
        <v>0</v>
      </c>
    </row>
    <row r="8" spans="1:8" ht="15" outlineLevel="1" thickBot="1" x14ac:dyDescent="0.4">
      <c r="A8" s="204" t="s">
        <v>35</v>
      </c>
      <c r="B8" s="205"/>
      <c r="C8" s="205"/>
      <c r="D8" s="205"/>
      <c r="E8" s="206"/>
      <c r="F8" s="41"/>
      <c r="G8" s="57" t="s">
        <v>31</v>
      </c>
      <c r="H8" s="36">
        <f>IF(F8="",0,VLOOKUP(F8,Punktetabellen!A3:B6,2,0))</f>
        <v>0</v>
      </c>
    </row>
    <row r="9" spans="1:8" ht="15" thickBot="1" x14ac:dyDescent="0.4">
      <c r="A9" s="210" t="s">
        <v>36</v>
      </c>
      <c r="B9" s="211"/>
      <c r="C9" s="211"/>
      <c r="D9" s="211"/>
      <c r="E9" s="211"/>
      <c r="F9" s="211"/>
      <c r="G9" s="211"/>
      <c r="H9" s="48">
        <f>SUM(H4:H8)</f>
        <v>0</v>
      </c>
    </row>
    <row r="10" spans="1:8" ht="15" outlineLevel="1" thickBot="1" x14ac:dyDescent="0.4">
      <c r="A10" s="189" t="s">
        <v>26</v>
      </c>
      <c r="B10" s="190"/>
      <c r="C10" s="190"/>
      <c r="D10" s="190"/>
      <c r="E10" s="191"/>
      <c r="F10" s="46" t="s">
        <v>27</v>
      </c>
      <c r="G10" s="47" t="s">
        <v>28</v>
      </c>
      <c r="H10" s="22" t="s">
        <v>234</v>
      </c>
    </row>
    <row r="11" spans="1:8" outlineLevel="1" x14ac:dyDescent="0.35">
      <c r="A11" s="207" t="s">
        <v>37</v>
      </c>
      <c r="B11" s="208"/>
      <c r="C11" s="208"/>
      <c r="D11" s="208"/>
      <c r="E11" s="209"/>
      <c r="F11" s="26"/>
      <c r="G11" s="58" t="s">
        <v>31</v>
      </c>
      <c r="H11" s="37">
        <f>IF($F11="",0,VLOOKUP($F11,Pkte_Klimmzug[],$H$2,1))</f>
        <v>0</v>
      </c>
    </row>
    <row r="12" spans="1:8" outlineLevel="1" x14ac:dyDescent="0.35">
      <c r="A12" s="201" t="s">
        <v>38</v>
      </c>
      <c r="B12" s="202"/>
      <c r="C12" s="202"/>
      <c r="D12" s="202"/>
      <c r="E12" s="203"/>
      <c r="F12" s="27"/>
      <c r="G12" s="59" t="s">
        <v>31</v>
      </c>
      <c r="H12" s="38">
        <f>IF($F12="",0,VLOOKUP($F12,Pkte_Beinheben[],$H$2,1))</f>
        <v>0</v>
      </c>
    </row>
    <row r="13" spans="1:8" outlineLevel="1" x14ac:dyDescent="0.35">
      <c r="A13" s="201" t="s">
        <v>88</v>
      </c>
      <c r="B13" s="202"/>
      <c r="C13" s="202"/>
      <c r="D13" s="202"/>
      <c r="E13" s="203"/>
      <c r="F13" s="27"/>
      <c r="G13" s="59" t="s">
        <v>31</v>
      </c>
      <c r="H13" s="38">
        <f>IF($F13="",0,VLOOKUP($F13,Pkte_Flieger[],$H$2,1))</f>
        <v>0</v>
      </c>
    </row>
    <row r="14" spans="1:8" outlineLevel="1" x14ac:dyDescent="0.35">
      <c r="A14" s="201" t="s">
        <v>39</v>
      </c>
      <c r="B14" s="202"/>
      <c r="C14" s="202"/>
      <c r="D14" s="202"/>
      <c r="E14" s="203"/>
      <c r="F14" s="27"/>
      <c r="G14" s="59" t="s">
        <v>31</v>
      </c>
      <c r="H14" s="38">
        <f>IF($F14="",0,VLOOKUP($F14,Pkte_Rollenverbindung[],$H$2,1))</f>
        <v>0</v>
      </c>
    </row>
    <row r="15" spans="1:8" outlineLevel="1" x14ac:dyDescent="0.35">
      <c r="A15" s="201" t="s">
        <v>89</v>
      </c>
      <c r="B15" s="202"/>
      <c r="C15" s="202"/>
      <c r="D15" s="202"/>
      <c r="E15" s="203"/>
      <c r="F15" s="27"/>
      <c r="G15" s="59" t="s">
        <v>31</v>
      </c>
      <c r="H15" s="38">
        <f>IF($F15="",0,VLOOKUP($F15,Pkte_Prellsprung[],$H$2,1))</f>
        <v>0</v>
      </c>
    </row>
    <row r="16" spans="1:8" outlineLevel="1" x14ac:dyDescent="0.35">
      <c r="A16" s="201" t="s">
        <v>90</v>
      </c>
      <c r="B16" s="202"/>
      <c r="C16" s="202"/>
      <c r="D16" s="202"/>
      <c r="E16" s="203"/>
      <c r="F16" s="28"/>
      <c r="G16" s="59" t="s">
        <v>31</v>
      </c>
      <c r="H16" s="38">
        <f>IF($F16="",0,VLOOKUP($F16,Pkte_Handstand[],$H$2,1))</f>
        <v>0</v>
      </c>
    </row>
    <row r="17" spans="1:8" ht="15" outlineLevel="1" thickBot="1" x14ac:dyDescent="0.4">
      <c r="A17" s="112" t="s">
        <v>93</v>
      </c>
      <c r="B17" s="113"/>
      <c r="C17" s="114" t="s">
        <v>269</v>
      </c>
      <c r="D17" s="29"/>
      <c r="E17" s="115" t="s">
        <v>270</v>
      </c>
      <c r="F17" s="29"/>
      <c r="G17" s="60" t="s">
        <v>31</v>
      </c>
      <c r="H17" s="39">
        <f>IF($F17="",0,IF($F$1="weiblich",VLOOKUP((100*$D17+$F17),Pkte_Shuttle_W[],$H$2,1),VLOOKUP((100*$D17+$F17),Pkte_Shuttle_M[],$H$2,1)))</f>
        <v>0</v>
      </c>
    </row>
    <row r="18" spans="1:8" ht="15" thickBot="1" x14ac:dyDescent="0.4">
      <c r="A18" s="161" t="s">
        <v>40</v>
      </c>
      <c r="B18" s="162"/>
      <c r="C18" s="162"/>
      <c r="D18" s="162"/>
      <c r="E18" s="162"/>
      <c r="F18" s="162"/>
      <c r="G18" s="162"/>
      <c r="H18" s="48">
        <f>SUM(H12:H17)</f>
        <v>0</v>
      </c>
    </row>
    <row r="19" spans="1:8" ht="15" outlineLevel="1" thickBot="1" x14ac:dyDescent="0.4">
      <c r="A19" s="159" t="s">
        <v>26</v>
      </c>
      <c r="B19" s="160"/>
      <c r="C19" s="160"/>
      <c r="D19" s="85" t="s">
        <v>235</v>
      </c>
      <c r="E19" s="85" t="s">
        <v>238</v>
      </c>
      <c r="F19" s="85" t="s">
        <v>236</v>
      </c>
      <c r="G19" s="86" t="s">
        <v>28</v>
      </c>
      <c r="H19" s="49" t="s">
        <v>234</v>
      </c>
    </row>
    <row r="20" spans="1:8" outlineLevel="1" x14ac:dyDescent="0.35">
      <c r="A20" s="167" t="s">
        <v>148</v>
      </c>
      <c r="B20" s="168"/>
      <c r="C20" s="116" t="str">
        <f>Infos!A10</f>
        <v>Druckmessplatte</v>
      </c>
      <c r="D20" s="90">
        <f>IF(F1="männlich",VLOOKUP(H2,Standsprünge!A3:C15,3,0),VLOOKUP(H2,Standsprünge!A3:B15,2,0))+IF(C20="Druckmessplatte",0)</f>
        <v>16.3</v>
      </c>
      <c r="E20" s="90"/>
      <c r="F20" s="67"/>
      <c r="G20" s="91" t="s">
        <v>149</v>
      </c>
      <c r="H20" s="88">
        <f>IF(F20="",0,(F20-D20)*10)</f>
        <v>0</v>
      </c>
    </row>
    <row r="21" spans="1:8" outlineLevel="1" x14ac:dyDescent="0.35">
      <c r="A21" s="165" t="str">
        <f>IF(H2&gt;15,"entfällt","TBN")</f>
        <v>entfällt</v>
      </c>
      <c r="B21" s="166"/>
      <c r="C21" s="77"/>
      <c r="D21" s="78" t="str">
        <f ca="1">IF(C21="","",VLOOKUP(C21,INDIRECT($C$57),2,0))</f>
        <v/>
      </c>
      <c r="E21" s="78" t="str">
        <f ca="1">IF(C21="","",VLOOKUP(C21,INDIRECT($C$57),3,0))</f>
        <v/>
      </c>
      <c r="F21" s="42"/>
      <c r="G21" s="71" t="str">
        <f>IF(H2&gt;16,"entfällt","Wert - Abzug")</f>
        <v>entfällt</v>
      </c>
      <c r="H21" s="66">
        <f>IF(A21="entfällt",0,IF(F21="",0,D21-F21))</f>
        <v>0</v>
      </c>
    </row>
    <row r="22" spans="1:8" outlineLevel="1" x14ac:dyDescent="0.35">
      <c r="A22" s="165" t="str">
        <f>IF(H2&gt;15,"entfällt","TBN")</f>
        <v>entfällt</v>
      </c>
      <c r="B22" s="166"/>
      <c r="C22" s="77"/>
      <c r="D22" s="78" t="str">
        <f ca="1">IF(C22="","",VLOOKUP(C22,INDIRECT($C$57),2,0))</f>
        <v/>
      </c>
      <c r="E22" s="78" t="str">
        <f ca="1">IF(C22="","",VLOOKUP(C22,INDIRECT($C$57),3,0))</f>
        <v/>
      </c>
      <c r="F22" s="42"/>
      <c r="G22" s="71" t="str">
        <f>IF(H2&gt;16,"entfällt","Wert - Abzug")</f>
        <v>entfällt</v>
      </c>
      <c r="H22" s="66">
        <f t="shared" ref="H22:H28" si="0">IF(A22="entfällt",0,IF(F22="",0,D22-F22))</f>
        <v>0</v>
      </c>
    </row>
    <row r="23" spans="1:8" outlineLevel="1" x14ac:dyDescent="0.35">
      <c r="A23" s="165" t="str">
        <f>IF(H2&gt;11,"entfällt","TBN")</f>
        <v>entfällt</v>
      </c>
      <c r="B23" s="166"/>
      <c r="C23" s="77"/>
      <c r="D23" s="78" t="str">
        <f ca="1">IF(C23="","",VLOOKUP(C23,INDIRECT($C$57),2,0))</f>
        <v/>
      </c>
      <c r="E23" s="78" t="str">
        <f ca="1">IF(C23="","",VLOOKUP(C23,INDIRECT($C$57),3,0))</f>
        <v/>
      </c>
      <c r="F23" s="42"/>
      <c r="G23" s="71" t="str">
        <f>IF(H2&gt;16,"entfällt","Wert - Abzug")</f>
        <v>entfällt</v>
      </c>
      <c r="H23" s="66">
        <f t="shared" si="0"/>
        <v>0</v>
      </c>
    </row>
    <row r="24" spans="1:8" outlineLevel="1" x14ac:dyDescent="0.35">
      <c r="A24" s="110" t="s">
        <v>147</v>
      </c>
      <c r="B24" s="111"/>
      <c r="C24" s="77"/>
      <c r="D24" s="78"/>
      <c r="E24" s="78"/>
      <c r="F24" s="42"/>
      <c r="G24" s="71" t="s">
        <v>146</v>
      </c>
      <c r="H24" s="66">
        <f t="shared" si="0"/>
        <v>0</v>
      </c>
    </row>
    <row r="25" spans="1:8" outlineLevel="1" x14ac:dyDescent="0.35">
      <c r="A25" s="110" t="s">
        <v>147</v>
      </c>
      <c r="B25" s="111"/>
      <c r="C25" s="77"/>
      <c r="D25" s="78"/>
      <c r="E25" s="78"/>
      <c r="F25" s="42"/>
      <c r="G25" s="71" t="s">
        <v>146</v>
      </c>
      <c r="H25" s="66">
        <f t="shared" si="0"/>
        <v>0</v>
      </c>
    </row>
    <row r="26" spans="1:8" outlineLevel="1" x14ac:dyDescent="0.35">
      <c r="A26" s="110" t="s">
        <v>147</v>
      </c>
      <c r="B26" s="111"/>
      <c r="C26" s="77"/>
      <c r="D26" s="78"/>
      <c r="E26" s="78"/>
      <c r="F26" s="42"/>
      <c r="G26" s="71" t="s">
        <v>146</v>
      </c>
      <c r="H26" s="66">
        <f t="shared" si="0"/>
        <v>0</v>
      </c>
    </row>
    <row r="27" spans="1:8" outlineLevel="1" x14ac:dyDescent="0.35">
      <c r="A27" s="110" t="str">
        <f>IF(H2&gt;11,"TN","entfällt")</f>
        <v>TN</v>
      </c>
      <c r="B27" s="111"/>
      <c r="C27" s="77"/>
      <c r="D27" s="78"/>
      <c r="E27" s="78"/>
      <c r="F27" s="42"/>
      <c r="G27" s="71" t="str">
        <f>IF(H2&gt;12,"Wert - Abzug","entfällt")</f>
        <v>Wert - Abzug</v>
      </c>
      <c r="H27" s="66">
        <f t="shared" si="0"/>
        <v>0</v>
      </c>
    </row>
    <row r="28" spans="1:8" outlineLevel="1" x14ac:dyDescent="0.35">
      <c r="A28" s="110" t="str">
        <f>IF(H2&gt;15,"TN","entfällt")</f>
        <v>TN</v>
      </c>
      <c r="B28" s="111"/>
      <c r="C28" s="77"/>
      <c r="D28" s="78"/>
      <c r="E28" s="78"/>
      <c r="F28" s="42"/>
      <c r="G28" s="71" t="str">
        <f>IF(H2&gt;16,"Wert - Abzug","entfällt")</f>
        <v>Wert - Abzug</v>
      </c>
      <c r="H28" s="66">
        <f t="shared" si="0"/>
        <v>0</v>
      </c>
    </row>
    <row r="29" spans="1:8" outlineLevel="1" x14ac:dyDescent="0.35">
      <c r="A29" s="110" t="str">
        <f>IF(H2&gt;15,"TN","entfällt")</f>
        <v>TN</v>
      </c>
      <c r="B29" s="111"/>
      <c r="C29" s="77"/>
      <c r="D29" s="78"/>
      <c r="E29" s="78"/>
      <c r="F29" s="42"/>
      <c r="G29" s="71" t="str">
        <f>IF(H2&gt;16,"Wert - Abzug","entfällt")</f>
        <v>Wert - Abzug</v>
      </c>
      <c r="H29" s="66">
        <f>IF(A29="entfällt",0,IF(F29="",0,D29-F29))</f>
        <v>0</v>
      </c>
    </row>
    <row r="30" spans="1:8" outlineLevel="1" x14ac:dyDescent="0.35">
      <c r="A30" s="165" t="str">
        <f>IF($H$2&gt;10,"Verbindung Sprung 1","entfällt")</f>
        <v>Verbindung Sprung 1</v>
      </c>
      <c r="B30" s="166"/>
      <c r="C30" s="40" t="str">
        <f ca="1">IF(A30&lt;&gt;"entfällt",VLOOKUP(1,INDIRECT($C$68),2,0),"")</f>
        <v>803&lt;</v>
      </c>
      <c r="D30" s="40">
        <f ca="1">IF(A30&lt;&gt;"entfällt",VLOOKUP(1,INDIRECT($C$68),3,0),"")</f>
        <v>15</v>
      </c>
      <c r="E30" s="40">
        <f ca="1">IF(A30&lt;&gt;"entfällt",VLOOKUP(1,INDIRECT($C$68),4,0),"")</f>
        <v>3</v>
      </c>
      <c r="F30" s="42"/>
      <c r="G30" s="71" t="str">
        <f>IF(H2&gt;12,"Wert - Abzug","entfällt")</f>
        <v>Wert - Abzug</v>
      </c>
      <c r="H30" s="66"/>
    </row>
    <row r="31" spans="1:8" outlineLevel="1" x14ac:dyDescent="0.35">
      <c r="A31" s="165" t="str">
        <f>IF($H$2&gt;10,"Verbindung Sprung 2","entfällt")</f>
        <v>Verbindung Sprung 2</v>
      </c>
      <c r="B31" s="166"/>
      <c r="C31" s="40" t="str">
        <f ca="1">IF(A31&lt;&gt;"entfällt",VLOOKUP(2,INDIRECT($C$68),2,0),"")</f>
        <v>40&lt;</v>
      </c>
      <c r="D31" s="40">
        <f ca="1">IF(A31&lt;&gt;"entfällt",VLOOKUP(2,INDIRECT($C$68),3,0),"")</f>
        <v>6</v>
      </c>
      <c r="E31" s="40">
        <f ca="1">IF(A31&lt;&gt;"entfällt",VLOOKUP(2,INDIRECT($C$68),4,0),"")</f>
        <v>3</v>
      </c>
      <c r="F31" s="42"/>
      <c r="G31" s="71" t="str">
        <f>IF(H2&gt;12,"Wert - Abzug","entfällt")</f>
        <v>Wert - Abzug</v>
      </c>
      <c r="H31" s="66"/>
    </row>
    <row r="32" spans="1:8" outlineLevel="1" x14ac:dyDescent="0.35">
      <c r="A32" s="165" t="str">
        <f>IF($H$2&gt;10,"Verbindung Sprung 3","entfällt")</f>
        <v>Verbindung Sprung 3</v>
      </c>
      <c r="B32" s="166"/>
      <c r="C32" s="40" t="str">
        <f ca="1">IF(A32&lt;&gt;"entfällt",VLOOKUP(3,INDIRECT($C$68),2,0),"")</f>
        <v>801&lt;</v>
      </c>
      <c r="D32" s="40">
        <f ca="1">IF(A32&lt;&gt;"entfällt",VLOOKUP(3,INDIRECT($C$68),3,0),"")</f>
        <v>13</v>
      </c>
      <c r="E32" s="40">
        <f ca="1">IF(A32&lt;&gt;"entfällt",VLOOKUP(3,INDIRECT($C$68),4,0),"")</f>
        <v>3</v>
      </c>
      <c r="F32" s="42"/>
      <c r="G32" s="71" t="str">
        <f>IF(H2&gt;12,"Wert - Abzug","entfällt")</f>
        <v>Wert - Abzug</v>
      </c>
      <c r="H32" s="66"/>
    </row>
    <row r="33" spans="1:8" outlineLevel="1" x14ac:dyDescent="0.35">
      <c r="A33" s="165" t="str">
        <f>IF($H$2&gt;10,"Verbindung Sprung 4","entfällt")</f>
        <v>Verbindung Sprung 4</v>
      </c>
      <c r="B33" s="166"/>
      <c r="C33" s="40" t="str">
        <f ca="1">IF(A33&lt;&gt;"entfällt",VLOOKUP(4,INDIRECT($C$68),2,0),"")</f>
        <v>40/</v>
      </c>
      <c r="D33" s="40">
        <f ca="1">IF(A33&lt;&gt;"entfällt",VLOOKUP(4,INDIRECT($C$68),3,0),"")</f>
        <v>6</v>
      </c>
      <c r="E33" s="40">
        <f ca="1">IF(A33&lt;&gt;"entfällt",VLOOKUP(4,INDIRECT($C$68),4,0),"")</f>
        <v>3</v>
      </c>
      <c r="F33" s="42"/>
      <c r="G33" s="71" t="str">
        <f>IF(H2&gt;12,"Wert - Abzug","entfällt")</f>
        <v>Wert - Abzug</v>
      </c>
      <c r="H33" s="66"/>
    </row>
    <row r="34" spans="1:8" outlineLevel="1" x14ac:dyDescent="0.35">
      <c r="A34" s="165" t="str">
        <f>IF($H$2&gt;10,"Verbindung Sprung 5","entfällt")</f>
        <v>Verbindung Sprung 5</v>
      </c>
      <c r="B34" s="166"/>
      <c r="C34" s="40" t="str">
        <f ca="1">IF(A34&lt;&gt;"entfällt",VLOOKUP(5,INDIRECT($C$68),2,0),"")</f>
        <v>41/</v>
      </c>
      <c r="D34" s="40">
        <f ca="1">IF(A34&lt;&gt;"entfällt",VLOOKUP(5,INDIRECT($C$68),3,0),"")</f>
        <v>6</v>
      </c>
      <c r="E34" s="40">
        <f ca="1">IF(A34&lt;&gt;"entfällt",VLOOKUP(5,INDIRECT($C$68),4,0),"")</f>
        <v>3</v>
      </c>
      <c r="F34" s="42"/>
      <c r="G34" s="71" t="str">
        <f>IF(H2&gt;12,"Wert - Abzug","entfällt")</f>
        <v>Wert - Abzug</v>
      </c>
      <c r="H34" s="66"/>
    </row>
    <row r="35" spans="1:8" ht="15" outlineLevel="1" thickBot="1" x14ac:dyDescent="0.4">
      <c r="A35" s="171" t="str">
        <f>IF($H$2&gt;10,"Verbindung Sprung 6","entfällt")</f>
        <v>Verbindung Sprung 6</v>
      </c>
      <c r="B35" s="172"/>
      <c r="C35" s="68" t="str">
        <f ca="1">IF(A35&lt;&gt;"entfällt",VLOOKUP(6,INDIRECT($C$68),2,0),"")</f>
        <v>811°</v>
      </c>
      <c r="D35" s="68">
        <f ca="1">IF(A35&lt;&gt;"entfällt",VLOOKUP(6,INDIRECT($C$68),3,0),"")</f>
        <v>12</v>
      </c>
      <c r="E35" s="68">
        <f ca="1">IF(A35&lt;&gt;"entfällt",VLOOKUP(6,INDIRECT($C$68),4,0),"")</f>
        <v>3</v>
      </c>
      <c r="F35" s="69"/>
      <c r="G35" s="72" t="str">
        <f>IF(H2&gt;12,"Wert - Abzug","entfällt")</f>
        <v>Wert - Abzug</v>
      </c>
      <c r="H35" s="70">
        <f>30-F30-F31-F32-F33-F34-F35</f>
        <v>30</v>
      </c>
    </row>
    <row r="36" spans="1:8" ht="15" thickBot="1" x14ac:dyDescent="0.4">
      <c r="A36" s="173" t="s">
        <v>41</v>
      </c>
      <c r="B36" s="174"/>
      <c r="C36" s="174"/>
      <c r="D36" s="174"/>
      <c r="E36" s="174"/>
      <c r="F36" s="174"/>
      <c r="G36" s="175"/>
      <c r="H36" s="89">
        <f>SUM(H20:H35)</f>
        <v>30</v>
      </c>
    </row>
    <row r="37" spans="1:8" ht="15" outlineLevel="1" thickBot="1" x14ac:dyDescent="0.4">
      <c r="A37" s="181" t="s">
        <v>99</v>
      </c>
      <c r="B37" s="182"/>
      <c r="C37" s="182"/>
      <c r="D37" s="183"/>
      <c r="E37" s="85" t="s">
        <v>27</v>
      </c>
      <c r="F37" s="85" t="s">
        <v>237</v>
      </c>
      <c r="G37" s="86" t="s">
        <v>28</v>
      </c>
      <c r="H37" s="49" t="s">
        <v>234</v>
      </c>
    </row>
    <row r="38" spans="1:8" outlineLevel="1" x14ac:dyDescent="0.35">
      <c r="A38" s="179" t="str">
        <f ca="1">VLOOKUP(1,INDIRECT($C$65),2,0)</f>
        <v>Salto vorwärts gehockt aus dem Stand</v>
      </c>
      <c r="B38" s="180"/>
      <c r="C38" s="180"/>
      <c r="D38" s="180"/>
      <c r="E38" s="92">
        <f ca="1">VLOOKUP(1,INDIRECT($C$65),3,0)</f>
        <v>5</v>
      </c>
      <c r="F38" s="79"/>
      <c r="G38" s="80" t="s">
        <v>146</v>
      </c>
      <c r="H38" s="84">
        <f ca="1">IF(E38=" ","",IF(F38="",0,E38-F38))</f>
        <v>0</v>
      </c>
    </row>
    <row r="39" spans="1:8" outlineLevel="1" x14ac:dyDescent="0.35">
      <c r="A39" s="163" t="str">
        <f ca="1">VLOOKUP(2,INDIRECT($C$65),2,0)</f>
        <v>Vorspreizen, Bestellschritt, Strecksprung 3/2 Drehung</v>
      </c>
      <c r="B39" s="164"/>
      <c r="C39" s="164"/>
      <c r="D39" s="164"/>
      <c r="E39" s="87">
        <f ca="1">VLOOKUP(2,INDIRECT($C$65),3,0)</f>
        <v>3</v>
      </c>
      <c r="F39" s="43"/>
      <c r="G39" s="81" t="s">
        <v>146</v>
      </c>
      <c r="H39" s="84">
        <f t="shared" ref="H39:H49" ca="1" si="1">IF(E39=" ","",IF(F39="",0,E39-F39))</f>
        <v>0</v>
      </c>
    </row>
    <row r="40" spans="1:8" outlineLevel="1" x14ac:dyDescent="0.35">
      <c r="A40" s="163" t="str">
        <f ca="1">VLOOKUP(3,INDIRECT($C$65),2,0)</f>
        <v>Rolle rückwärts durch Handstand mit 1/2 Drehung</v>
      </c>
      <c r="B40" s="164"/>
      <c r="C40" s="164"/>
      <c r="D40" s="164"/>
      <c r="E40" s="87">
        <f ca="1">VLOOKUP(3,INDIRECT($C$65),3,0)</f>
        <v>4</v>
      </c>
      <c r="F40" s="43"/>
      <c r="G40" s="81" t="s">
        <v>146</v>
      </c>
      <c r="H40" s="84">
        <f t="shared" ca="1" si="1"/>
        <v>0</v>
      </c>
    </row>
    <row r="41" spans="1:8" outlineLevel="1" x14ac:dyDescent="0.35">
      <c r="A41" s="163" t="str">
        <f ca="1">VLOOKUP(4,INDIRECT($C$65),2,0)</f>
        <v>--&gt; Strecksprung --&gt; Salto vorwärts gehockt</v>
      </c>
      <c r="B41" s="164"/>
      <c r="C41" s="164"/>
      <c r="D41" s="164"/>
      <c r="E41" s="87">
        <f ca="1">VLOOKUP(4,INDIRECT($C$65),3,0)</f>
        <v>4</v>
      </c>
      <c r="F41" s="43"/>
      <c r="G41" s="81" t="s">
        <v>146</v>
      </c>
      <c r="H41" s="84">
        <f t="shared" ca="1" si="1"/>
        <v>0</v>
      </c>
    </row>
    <row r="42" spans="1:8" outlineLevel="1" x14ac:dyDescent="0.35">
      <c r="A42" s="163" t="str">
        <f ca="1">VLOOKUP(5,INDIRECT($C$65),2,0)</f>
        <v>Wiener, 1/2 Drehung, absenken zum Stand</v>
      </c>
      <c r="B42" s="164"/>
      <c r="C42" s="164"/>
      <c r="D42" s="164"/>
      <c r="E42" s="87">
        <f ca="1">VLOOKUP(5,INDIRECT($C$65),3,0)</f>
        <v>4</v>
      </c>
      <c r="F42" s="43"/>
      <c r="G42" s="81" t="s">
        <v>146</v>
      </c>
      <c r="H42" s="84">
        <f t="shared" ca="1" si="1"/>
        <v>0</v>
      </c>
    </row>
    <row r="43" spans="1:8" outlineLevel="1" x14ac:dyDescent="0.35">
      <c r="A43" s="163" t="str">
        <f ca="1">VLOOKUP(6,INDIRECT($C$65),2,0)</f>
        <v>Handstand mit zwei Hüpfern, abrollen</v>
      </c>
      <c r="B43" s="164"/>
      <c r="C43" s="164"/>
      <c r="D43" s="164"/>
      <c r="E43" s="87">
        <f ca="1">VLOOKUP(6,INDIRECT($C$65),3,0)</f>
        <v>2</v>
      </c>
      <c r="F43" s="43"/>
      <c r="G43" s="81" t="s">
        <v>146</v>
      </c>
      <c r="H43" s="84">
        <f t="shared" ca="1" si="1"/>
        <v>0</v>
      </c>
    </row>
    <row r="44" spans="1:8" outlineLevel="1" x14ac:dyDescent="0.35">
      <c r="A44" s="163" t="str">
        <f ca="1">VLOOKUP(7,INDIRECT($C$65),2,0)</f>
        <v>--&gt; aufstehen mit gestreckten Beinen</v>
      </c>
      <c r="B44" s="164"/>
      <c r="C44" s="164"/>
      <c r="D44" s="164"/>
      <c r="E44" s="87">
        <f ca="1">VLOOKUP(7,INDIRECT($C$65),3,0)</f>
        <v>3</v>
      </c>
      <c r="F44" s="43"/>
      <c r="G44" s="81" t="s">
        <v>146</v>
      </c>
      <c r="H44" s="84">
        <f t="shared" ca="1" si="1"/>
        <v>0</v>
      </c>
    </row>
    <row r="45" spans="1:8" outlineLevel="1" x14ac:dyDescent="0.35">
      <c r="A45" s="163" t="str">
        <f ca="1">VLOOKUP(8,INDIRECT($C$65),2,0)</f>
        <v>Salto rückwärts gebückt</v>
      </c>
      <c r="B45" s="164"/>
      <c r="C45" s="164"/>
      <c r="D45" s="164"/>
      <c r="E45" s="87">
        <f ca="1">VLOOKUP(8,INDIRECT($C$65),3,0)</f>
        <v>5</v>
      </c>
      <c r="F45" s="43"/>
      <c r="G45" s="81" t="s">
        <v>146</v>
      </c>
      <c r="H45" s="84">
        <f t="shared" ca="1" si="1"/>
        <v>0</v>
      </c>
    </row>
    <row r="46" spans="1:8" outlineLevel="1" x14ac:dyDescent="0.35">
      <c r="A46" s="163" t="str">
        <f ca="1">VLOOKUP(9,INDIRECT($C$65),2,0)</f>
        <v xml:space="preserve"> </v>
      </c>
      <c r="B46" s="164"/>
      <c r="C46" s="164"/>
      <c r="D46" s="164"/>
      <c r="E46" s="87" t="str">
        <f ca="1">VLOOKUP(9,INDIRECT($C$65),3,0)</f>
        <v xml:space="preserve"> </v>
      </c>
      <c r="F46" s="43"/>
      <c r="G46" s="81" t="str">
        <f>IF(H2&gt;16,"","Wert - Abzug")</f>
        <v/>
      </c>
      <c r="H46" s="84" t="str">
        <f t="shared" ca="1" si="1"/>
        <v/>
      </c>
    </row>
    <row r="47" spans="1:8" outlineLevel="1" x14ac:dyDescent="0.35">
      <c r="A47" s="163" t="str">
        <f ca="1">VLOOKUP(10,INDIRECT($C$65),2,0)</f>
        <v xml:space="preserve"> </v>
      </c>
      <c r="B47" s="164"/>
      <c r="C47" s="164"/>
      <c r="D47" s="164"/>
      <c r="E47" s="87" t="str">
        <f ca="1">VLOOKUP(10,INDIRECT($C$65),3,0)</f>
        <v xml:space="preserve"> </v>
      </c>
      <c r="F47" s="43"/>
      <c r="G47" s="81" t="str">
        <f>IF(H2&gt;16,"","Wert - Abzug")</f>
        <v/>
      </c>
      <c r="H47" s="84" t="str">
        <f t="shared" ca="1" si="1"/>
        <v/>
      </c>
    </row>
    <row r="48" spans="1:8" outlineLevel="1" x14ac:dyDescent="0.35">
      <c r="A48" s="163" t="str">
        <f ca="1">VLOOKUP(11,INDIRECT($C$65),2,0)</f>
        <v xml:space="preserve"> </v>
      </c>
      <c r="B48" s="164"/>
      <c r="C48" s="164"/>
      <c r="D48" s="164"/>
      <c r="E48" s="87" t="str">
        <f ca="1">VLOOKUP(11,INDIRECT($C$65),3,0)</f>
        <v xml:space="preserve"> </v>
      </c>
      <c r="F48" s="43"/>
      <c r="G48" s="81" t="str">
        <f>IF(H2&gt;13,"","Wert - Abzug")</f>
        <v/>
      </c>
      <c r="H48" s="84" t="str">
        <f t="shared" ca="1" si="1"/>
        <v/>
      </c>
    </row>
    <row r="49" spans="1:8" ht="15" outlineLevel="1" thickBot="1" x14ac:dyDescent="0.4">
      <c r="A49" s="184" t="str">
        <f ca="1">VLOOKUP(12,INDIRECT($C$65),2,0)</f>
        <v xml:space="preserve"> </v>
      </c>
      <c r="B49" s="185"/>
      <c r="C49" s="185"/>
      <c r="D49" s="185"/>
      <c r="E49" s="93" t="str">
        <f ca="1">VLOOKUP(12,INDIRECT($C$65),3,0)</f>
        <v xml:space="preserve"> </v>
      </c>
      <c r="F49" s="82"/>
      <c r="G49" s="83" t="str">
        <f>IF(OR(H2=9,H2=12,H2=13),"Wert - Abzug","")</f>
        <v/>
      </c>
      <c r="H49" s="84" t="str">
        <f t="shared" ca="1" si="1"/>
        <v/>
      </c>
    </row>
    <row r="50" spans="1:8" ht="15" thickBot="1" x14ac:dyDescent="0.4">
      <c r="A50" s="176" t="s">
        <v>98</v>
      </c>
      <c r="B50" s="177"/>
      <c r="C50" s="177"/>
      <c r="D50" s="177"/>
      <c r="E50" s="177"/>
      <c r="F50" s="177"/>
      <c r="G50" s="178"/>
      <c r="H50" s="44">
        <f ca="1">SUM(H38:H49)</f>
        <v>0</v>
      </c>
    </row>
    <row r="51" spans="1:8" ht="16" thickBot="1" x14ac:dyDescent="0.4">
      <c r="A51" s="169" t="s">
        <v>42</v>
      </c>
      <c r="B51" s="170"/>
      <c r="C51" s="170"/>
      <c r="D51" s="170"/>
      <c r="E51" s="170"/>
      <c r="F51" s="170"/>
      <c r="G51" s="170"/>
      <c r="H51" s="94">
        <f ca="1">SUM(H9,H18,H36,H50)</f>
        <v>30</v>
      </c>
    </row>
    <row r="52" spans="1:8" s="23" customFormat="1" x14ac:dyDescent="0.35">
      <c r="D52" s="50"/>
      <c r="E52" s="50"/>
      <c r="F52" s="50"/>
      <c r="G52" s="50"/>
    </row>
    <row r="53" spans="1:8" s="23" customFormat="1" hidden="1" x14ac:dyDescent="0.35">
      <c r="C53" s="24"/>
      <c r="D53" s="50"/>
      <c r="E53" s="50"/>
      <c r="F53" s="50"/>
      <c r="G53" s="50"/>
    </row>
    <row r="54" spans="1:8" s="23" customFormat="1" hidden="1" x14ac:dyDescent="0.35">
      <c r="B54" s="23" t="s">
        <v>249</v>
      </c>
      <c r="C54" s="23" t="str">
        <f>IF(H2&lt;13,"beide",F1)</f>
        <v>weiblich</v>
      </c>
      <c r="D54" s="50"/>
      <c r="E54" s="50"/>
      <c r="F54" s="50"/>
      <c r="G54" s="50"/>
    </row>
    <row r="55" spans="1:8" s="23" customFormat="1" hidden="1" x14ac:dyDescent="0.35">
      <c r="B55" s="23" t="s">
        <v>3</v>
      </c>
      <c r="C55" s="23">
        <f>IF(OR(H2=8,H2=11),H2,IF(H2&lt;11,"9_10",IF(H2&lt;14,"12_13",IF(H2&lt;16,"14_15",IF(H2&lt;18,"16_17",18)))))</f>
        <v>18</v>
      </c>
      <c r="D55" s="50"/>
      <c r="E55" s="50"/>
      <c r="F55" s="50"/>
      <c r="G55" s="50"/>
    </row>
    <row r="56" spans="1:8" s="23" customFormat="1" hidden="1" x14ac:dyDescent="0.35">
      <c r="D56" s="50"/>
      <c r="E56" s="50"/>
      <c r="F56" s="50"/>
      <c r="G56" s="50"/>
    </row>
    <row r="57" spans="1:8" s="23" customFormat="1" hidden="1" x14ac:dyDescent="0.35">
      <c r="B57" s="23" t="s">
        <v>251</v>
      </c>
      <c r="C57" s="23" t="str">
        <f>"TBN_"&amp;C54&amp;"_"&amp;C55</f>
        <v>TBN_weiblich_18</v>
      </c>
      <c r="D57" s="50"/>
      <c r="E57" s="50"/>
      <c r="F57" s="50"/>
      <c r="G57" s="50"/>
    </row>
    <row r="58" spans="1:8" s="23" customFormat="1" hidden="1" x14ac:dyDescent="0.35">
      <c r="C58" s="23" t="str">
        <f>C57&amp;"[Beschreibung]"</f>
        <v>TBN_weiblich_18[Beschreibung]</v>
      </c>
      <c r="D58" s="50"/>
      <c r="E58" s="50"/>
      <c r="F58" s="50"/>
      <c r="G58" s="50"/>
    </row>
    <row r="59" spans="1:8" s="23" customFormat="1" hidden="1" x14ac:dyDescent="0.35">
      <c r="D59" s="50"/>
      <c r="E59" s="50"/>
      <c r="F59" s="50"/>
      <c r="G59" s="50"/>
    </row>
    <row r="60" spans="1:8" s="23" customFormat="1" hidden="1" x14ac:dyDescent="0.35">
      <c r="B60" s="23" t="s">
        <v>147</v>
      </c>
      <c r="C60" s="23" t="str">
        <f>"TN_"&amp;C54&amp;"_"&amp;C55</f>
        <v>TN_weiblich_18</v>
      </c>
      <c r="D60" s="50"/>
      <c r="E60" s="50"/>
      <c r="F60" s="50"/>
      <c r="G60" s="50"/>
    </row>
    <row r="61" spans="1:8" s="23" customFormat="1" hidden="1" x14ac:dyDescent="0.35">
      <c r="C61" s="23" t="str">
        <f>C60&amp;"[Beschreibung]"</f>
        <v>TN_weiblich_18[Beschreibung]</v>
      </c>
      <c r="D61" s="50"/>
      <c r="E61" s="50"/>
      <c r="F61" s="50"/>
      <c r="G61" s="50"/>
    </row>
    <row r="62" spans="1:8" s="23" customFormat="1" hidden="1" x14ac:dyDescent="0.35">
      <c r="D62" s="50"/>
      <c r="E62" s="50"/>
      <c r="F62" s="50"/>
      <c r="G62" s="50"/>
    </row>
    <row r="63" spans="1:8" s="23" customFormat="1" hidden="1" x14ac:dyDescent="0.35">
      <c r="B63" s="23" t="s">
        <v>17</v>
      </c>
      <c r="C63" s="23" t="str">
        <f>"TV_"&amp;F1&amp;"_"&amp;C55</f>
        <v>TV_weiblich_18</v>
      </c>
      <c r="D63" s="50"/>
      <c r="E63" s="50"/>
      <c r="F63" s="50"/>
      <c r="G63" s="50"/>
    </row>
    <row r="64" spans="1:8" s="23" customFormat="1" hidden="1" x14ac:dyDescent="0.35">
      <c r="D64" s="50"/>
      <c r="E64" s="50"/>
      <c r="F64" s="50"/>
      <c r="G64" s="50"/>
    </row>
    <row r="65" spans="2:7" s="23" customFormat="1" hidden="1" x14ac:dyDescent="0.35">
      <c r="B65" s="23" t="s">
        <v>252</v>
      </c>
      <c r="C65" s="23" t="str">
        <f>"BKÜ"&amp;IF(H2=9,"_9",IF(H2&lt;12,"_10_11",IF(H2&lt;14,"_12_13",IF(H2&lt;17,"_14_16","_17"))))</f>
        <v>BKÜ_17</v>
      </c>
      <c r="D65" s="50"/>
      <c r="E65" s="50"/>
      <c r="F65" s="50"/>
      <c r="G65" s="50"/>
    </row>
    <row r="66" spans="2:7" s="23" customFormat="1" hidden="1" x14ac:dyDescent="0.35">
      <c r="D66" s="50"/>
      <c r="E66" s="50"/>
      <c r="F66" s="50"/>
      <c r="G66" s="50"/>
    </row>
    <row r="67" spans="2:7" s="23" customFormat="1" hidden="1" x14ac:dyDescent="0.35">
      <c r="B67" s="23" t="s">
        <v>250</v>
      </c>
      <c r="C67" s="23" t="str">
        <f>IF(H2&lt;17,"beide",F1)</f>
        <v>weiblich</v>
      </c>
      <c r="D67" s="50"/>
      <c r="E67" s="50"/>
      <c r="F67" s="50"/>
      <c r="G67" s="50"/>
    </row>
    <row r="68" spans="2:7" s="23" customFormat="1" hidden="1" x14ac:dyDescent="0.35">
      <c r="B68" s="23" t="s">
        <v>17</v>
      </c>
      <c r="C68" s="23" t="str">
        <f>"TV_"&amp;C67&amp;"_"&amp;C55</f>
        <v>TV_weiblich_18</v>
      </c>
      <c r="D68" s="50"/>
      <c r="E68" s="50"/>
      <c r="F68" s="50"/>
      <c r="G68" s="50"/>
    </row>
    <row r="69" spans="2:7" x14ac:dyDescent="0.35"/>
    <row r="70" spans="2:7" x14ac:dyDescent="0.35"/>
  </sheetData>
  <sheetProtection algorithmName="SHA-512" hashValue="Rwh+4CN+OqxmZvM4f2jr4cya8NpEvGkASxr1k6bUuA4sNZfVUXmc0ztbH6KVoTTL+Q38cr1Udhg9ZR15L43XXw==" saltValue="4xEq3435ykKPz6LFf+iUPA==" spinCount="100000" sheet="1" objects="1" scenarios="1" selectLockedCells="1"/>
  <protectedRanges>
    <protectedRange sqref="H1:H2 F1:F2 B1:B2" name="Athletendaten"/>
    <protectedRange sqref="F38:F49 C20:F35 D69:E440 C69:C441 F4:F8 C38:E68 C11:E16 F11:F17" name="Werte und Varianten"/>
    <protectedRange algorithmName="SHA-512" hashValue="EtPG7jm6pk6JVG08ToKZL4Sto4PS6TOUsygvFmj6DTfcGnX6DwKdfjTEg/2X1Hwnu/CwfNhBUSnXKs/oLqcupQ==" saltValue="sPse4fdTsI5OFESYvRIl8Q==" spinCount="100000" sqref="H4:H8 H38:H49 H20:H35 H11:H17" name="Punktzahlen"/>
  </protectedRanges>
  <mergeCells count="44">
    <mergeCell ref="A12:E12"/>
    <mergeCell ref="B1:E1"/>
    <mergeCell ref="B2:F2"/>
    <mergeCell ref="A3:E3"/>
    <mergeCell ref="A4:E4"/>
    <mergeCell ref="A5:E5"/>
    <mergeCell ref="A6:E6"/>
    <mergeCell ref="A7:E7"/>
    <mergeCell ref="A8:E8"/>
    <mergeCell ref="A9:G9"/>
    <mergeCell ref="A10:E10"/>
    <mergeCell ref="A11:E11"/>
    <mergeCell ref="A31:B31"/>
    <mergeCell ref="A13:E13"/>
    <mergeCell ref="A14:E14"/>
    <mergeCell ref="A15:E15"/>
    <mergeCell ref="A16:E16"/>
    <mergeCell ref="A18:G18"/>
    <mergeCell ref="A19:C19"/>
    <mergeCell ref="A20:B20"/>
    <mergeCell ref="A21:B21"/>
    <mergeCell ref="A22:B22"/>
    <mergeCell ref="A23:B23"/>
    <mergeCell ref="A30:B30"/>
    <mergeCell ref="A43:D43"/>
    <mergeCell ref="A32:B32"/>
    <mergeCell ref="A33:B33"/>
    <mergeCell ref="A34:B34"/>
    <mergeCell ref="A35:B35"/>
    <mergeCell ref="A36:G36"/>
    <mergeCell ref="A37:D37"/>
    <mergeCell ref="A38:D38"/>
    <mergeCell ref="A39:D39"/>
    <mergeCell ref="A40:D40"/>
    <mergeCell ref="A41:D41"/>
    <mergeCell ref="A42:D42"/>
    <mergeCell ref="A50:G50"/>
    <mergeCell ref="A51:G51"/>
    <mergeCell ref="A44:D44"/>
    <mergeCell ref="A45:D45"/>
    <mergeCell ref="A46:D46"/>
    <mergeCell ref="A47:D47"/>
    <mergeCell ref="A48:D48"/>
    <mergeCell ref="A49:D49"/>
  </mergeCells>
  <conditionalFormatting sqref="F46:F49">
    <cfRule type="expression" dxfId="243" priority="3">
      <formula>$A46=" "</formula>
    </cfRule>
  </conditionalFormatting>
  <conditionalFormatting sqref="B24:B29 C21:E29">
    <cfRule type="expression" dxfId="242" priority="2">
      <formula>$A21="entfällt"</formula>
    </cfRule>
    <cfRule type="expression" dxfId="241" priority="4">
      <formula>$H$2&gt;14</formula>
    </cfRule>
  </conditionalFormatting>
  <conditionalFormatting sqref="B24:B29">
    <cfRule type="expression" dxfId="240" priority="1">
      <formula>AND($A24="TN",$C24&lt;&gt;"")</formula>
    </cfRule>
  </conditionalFormatting>
  <dataValidations count="19">
    <dataValidation type="decimal" errorStyle="warning" allowBlank="1" showInputMessage="1" showErrorMessage="1" error="Eingegebener Abzug überschreitet maximal zulässigen Abzug, Wert bitte überprüfen!" sqref="F21:F35" xr:uid="{31EB3D77-DA6C-48E8-AA01-E2E589C3F97C}">
      <formula1>0</formula1>
      <formula2>$E21</formula2>
    </dataValidation>
    <dataValidation type="list" allowBlank="1" showInputMessage="1" showErrorMessage="1" sqref="C20" xr:uid="{48F32D5B-BEA6-43B5-9618-D2073D4C3054}">
      <formula1>"Lichtschranke,Druckmessplatte"</formula1>
    </dataValidation>
    <dataValidation type="whole" allowBlank="1" showInputMessage="1" showErrorMessage="1" errorTitle="Falsche Eingabe" error="Bitte Wert prüfen" sqref="D17" xr:uid="{953F135D-F14A-4D0D-8225-3D3E09FA079E}">
      <formula1>1</formula1>
      <formula2>13</formula2>
    </dataValidation>
    <dataValidation type="list" allowBlank="1" showInputMessage="1" sqref="C24:C29" xr:uid="{E4B24654-DEFB-4DCB-8843-0140B8A8E079}">
      <formula1>INDIRECT($C$61)</formula1>
    </dataValidation>
    <dataValidation type="list" allowBlank="1" showInputMessage="1" sqref="C21:C23" xr:uid="{8E38C593-071A-4870-A445-BC386ADF201B}">
      <formula1>INDIRECT($C$58)</formula1>
    </dataValidation>
    <dataValidation allowBlank="1" showInputMessage="1" showErrorMessage="1" prompt="Anzahl der Wiederholungen" sqref="F11" xr:uid="{894E336E-EE7A-45F8-9D58-BB8ED087559A}"/>
    <dataValidation type="whole" allowBlank="1" showInputMessage="1" showErrorMessage="1" prompt="Abstand von der Oberkante des Turnhockers zur schlechtesten Fingerspitze in cm" sqref="F6" xr:uid="{1740F8E9-6345-4B16-9C03-BC6E20512540}">
      <formula1>-50</formula1>
      <formula2>50</formula2>
    </dataValidation>
    <dataValidation type="list" allowBlank="1" showInputMessage="1" showErrorMessage="1" prompt="Punktzahl nach Vergleich mit Bild" sqref="F5" xr:uid="{7E9EE6A6-EE23-4842-8781-4163D85A77F9}">
      <formula1>"0,2,6,10"</formula1>
    </dataValidation>
    <dataValidation type="whole" allowBlank="1" showErrorMessage="1" errorTitle="Falsche Eingabe" error="Bitte Wert prüfen" prompt="Höchste erreichte Stufe" sqref="F17" xr:uid="{6F5EED2E-08EB-4AEE-9144-47619C2DEB38}">
      <formula1>1</formula1>
      <formula2>11</formula2>
    </dataValidation>
    <dataValidation allowBlank="1" sqref="D20:E20" xr:uid="{8B017C04-1E77-4EB0-B1B2-F170977F745C}"/>
    <dataValidation type="decimal" errorStyle="warning" allowBlank="1" showInputMessage="1" showErrorMessage="1" error="Abzug höher als Wert des Elements, bitte überprüfen!" prompt="Abzug" sqref="F38:F49" xr:uid="{2C0D6A65-A4BA-4484-A108-EFCC8BCA8CCF}">
      <formula1>0</formula1>
      <formula2>$E38</formula2>
    </dataValidation>
    <dataValidation type="whole" allowBlank="1" showInputMessage="1" showErrorMessage="1" prompt="AKs 9 - 13: Übersprungene Kästchen_x000a__x000a_AKs 14 - 21: Anzahl Saltos" sqref="F15" xr:uid="{51A634A2-C586-4512-856B-70AF826B1FC8}">
      <formula1>0</formula1>
      <formula2>50</formula2>
    </dataValidation>
    <dataValidation type="list" allowBlank="1" showInputMessage="1" showErrorMessage="1" sqref="F1" xr:uid="{B99783F2-F0EE-403A-B0E1-4D809A75DE31}">
      <formula1>"männlich,weiblich"</formula1>
    </dataValidation>
    <dataValidation type="whole" allowBlank="1" showInputMessage="1" showErrorMessage="1" sqref="H4:H8" xr:uid="{70D3803C-F3AB-4A4B-A79A-C6BEBFDE1CBB}">
      <formula1>0</formula1>
      <formula2>10</formula2>
    </dataValidation>
    <dataValidation type="whole" allowBlank="1" showInputMessage="1" showErrorMessage="1" prompt="Haltezeit in Sekunden" sqref="F13" xr:uid="{A26C52DF-2939-44BA-9745-9795F03A8900}">
      <formula1>0</formula1>
      <formula2>200</formula2>
    </dataValidation>
    <dataValidation type="whole" allowBlank="1" showInputMessage="1" showErrorMessage="1" prompt="Haltezeit in Sekunden" sqref="F16" xr:uid="{6366BB59-8FDC-4CBB-8161-38459FE9F3A1}">
      <formula1>0</formula1>
      <formula2>100</formula2>
    </dataValidation>
    <dataValidation type="whole" allowBlank="1" showInputMessage="1" showErrorMessage="1" prompt="Anzahl der Wiederholungen" sqref="F14 F12" xr:uid="{D68849E1-E5F9-4D3D-9CE9-19C0BF55C64C}">
      <formula1>0</formula1>
      <formula2>50</formula2>
    </dataValidation>
    <dataValidation type="list" operator="equal" allowBlank="1" showInputMessage="1" showErrorMessage="1" prompt="Punktzahl nach Vergleich mit Bild" sqref="F4" xr:uid="{9FD32100-770D-4400-8399-30050671CF10}">
      <formula1>"0,2,6,10"</formula1>
    </dataValidation>
    <dataValidation type="decimal" errorStyle="warning" showDropDown="1" showErrorMessage="1" error="Wert unrealistisch hoch, bitte Eingabe überprüfen" promptTitle="Vorsicht" sqref="F20" xr:uid="{D1FE9808-459F-44B1-A6C6-26CC0FC1FDA0}">
      <formula1>0</formula1>
      <formula2>30</formula2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Bitte Werte aus Dropdown auswählen" prompt="Abstand vom Boden laut Schablone" xr:uid="{6690DAB3-A0A2-4060-89AF-70DEFF4176CB}">
          <x14:formula1>
            <xm:f>Punktetabellen!$A$3:$A$6</xm:f>
          </x14:formula1>
          <xm:sqref>F7:F8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A54E0-B2B2-44C1-A201-C9030D57C198}">
  <sheetPr codeName="Tabelle6">
    <tabColor rgb="FFC00000"/>
  </sheetPr>
  <dimension ref="A1:C14"/>
  <sheetViews>
    <sheetView workbookViewId="0">
      <selection activeCell="A15" sqref="A15"/>
    </sheetView>
  </sheetViews>
  <sheetFormatPr baseColWidth="10" defaultColWidth="0" defaultRowHeight="14.5" x14ac:dyDescent="0.35"/>
  <cols>
    <col min="1" max="1" width="13.26953125" customWidth="1"/>
    <col min="2" max="2" width="13.453125" customWidth="1"/>
    <col min="3" max="3" width="55.54296875" customWidth="1"/>
    <col min="4" max="16384" width="11.54296875" hidden="1"/>
  </cols>
  <sheetData>
    <row r="1" spans="1:3" x14ac:dyDescent="0.35">
      <c r="A1" s="109" t="s">
        <v>256</v>
      </c>
      <c r="B1" s="109" t="s">
        <v>257</v>
      </c>
      <c r="C1" s="109" t="s">
        <v>258</v>
      </c>
    </row>
    <row r="2" spans="1:3" x14ac:dyDescent="0.35">
      <c r="A2" t="s">
        <v>260</v>
      </c>
      <c r="B2" s="108">
        <v>43655</v>
      </c>
      <c r="C2" t="s">
        <v>259</v>
      </c>
    </row>
    <row r="3" spans="1:3" x14ac:dyDescent="0.35">
      <c r="A3" t="s">
        <v>261</v>
      </c>
      <c r="B3" s="108">
        <v>43658</v>
      </c>
      <c r="C3" t="s">
        <v>262</v>
      </c>
    </row>
    <row r="4" spans="1:3" x14ac:dyDescent="0.35">
      <c r="A4" t="s">
        <v>263</v>
      </c>
      <c r="B4" s="108">
        <v>43660</v>
      </c>
      <c r="C4" t="s">
        <v>264</v>
      </c>
    </row>
    <row r="5" spans="1:3" x14ac:dyDescent="0.35">
      <c r="A5" t="s">
        <v>265</v>
      </c>
      <c r="B5" s="108">
        <v>43661</v>
      </c>
      <c r="C5" t="s">
        <v>266</v>
      </c>
    </row>
    <row r="6" spans="1:3" x14ac:dyDescent="0.35">
      <c r="A6" t="s">
        <v>267</v>
      </c>
      <c r="B6" s="108">
        <v>43687</v>
      </c>
      <c r="C6" t="s">
        <v>268</v>
      </c>
    </row>
    <row r="7" spans="1:3" x14ac:dyDescent="0.35">
      <c r="A7" t="s">
        <v>271</v>
      </c>
      <c r="B7" s="108">
        <v>43696</v>
      </c>
      <c r="C7" t="s">
        <v>272</v>
      </c>
    </row>
    <row r="8" spans="1:3" x14ac:dyDescent="0.35">
      <c r="A8" t="s">
        <v>273</v>
      </c>
      <c r="B8" s="108">
        <v>43843</v>
      </c>
      <c r="C8" t="s">
        <v>274</v>
      </c>
    </row>
    <row r="9" spans="1:3" x14ac:dyDescent="0.35">
      <c r="A9" t="s">
        <v>275</v>
      </c>
      <c r="B9" s="108">
        <v>44044</v>
      </c>
      <c r="C9" t="s">
        <v>276</v>
      </c>
    </row>
    <row r="10" spans="1:3" x14ac:dyDescent="0.35">
      <c r="A10" t="s">
        <v>279</v>
      </c>
      <c r="B10" s="108">
        <v>44060</v>
      </c>
      <c r="C10" t="s">
        <v>280</v>
      </c>
    </row>
    <row r="11" spans="1:3" ht="29" x14ac:dyDescent="0.35">
      <c r="A11" s="118" t="s">
        <v>281</v>
      </c>
      <c r="B11" s="119">
        <v>44087</v>
      </c>
      <c r="C11" s="120" t="s">
        <v>282</v>
      </c>
    </row>
    <row r="12" spans="1:3" ht="43.5" x14ac:dyDescent="0.35">
      <c r="A12" s="118" t="s">
        <v>283</v>
      </c>
      <c r="B12" s="119">
        <v>44373</v>
      </c>
      <c r="C12" s="13" t="s">
        <v>306</v>
      </c>
    </row>
    <row r="13" spans="1:3" x14ac:dyDescent="0.35">
      <c r="A13" t="s">
        <v>308</v>
      </c>
      <c r="B13" s="108">
        <v>44380</v>
      </c>
      <c r="C13" t="s">
        <v>309</v>
      </c>
    </row>
    <row r="14" spans="1:3" x14ac:dyDescent="0.35">
      <c r="A14" t="s">
        <v>311</v>
      </c>
      <c r="B14" s="108">
        <v>44380</v>
      </c>
      <c r="C14" t="s">
        <v>312</v>
      </c>
    </row>
  </sheetData>
  <autoFilter ref="A1:C1" xr:uid="{DB824331-5C2F-41C2-A0A6-9218483E38A4}"/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FBAB2-A422-45DB-9F18-BE7B1678E0AD}">
  <sheetPr codeName="Tabelle26">
    <tabColor indexed="47"/>
    <pageSetUpPr fitToPage="1"/>
  </sheetPr>
  <dimension ref="A1:J70"/>
  <sheetViews>
    <sheetView zoomScale="101" zoomScaleNormal="85" workbookViewId="0">
      <pane ySplit="2" topLeftCell="A3" activePane="bottomLeft" state="frozen"/>
      <selection sqref="A1:H1"/>
      <selection pane="bottomLeft" activeCell="C20" sqref="C20"/>
    </sheetView>
  </sheetViews>
  <sheetFormatPr baseColWidth="10" defaultColWidth="0" defaultRowHeight="14.5" zeroHeight="1" outlineLevelRow="1" x14ac:dyDescent="0.35"/>
  <cols>
    <col min="1" max="1" width="11.453125" customWidth="1"/>
    <col min="2" max="2" width="12.1796875" customWidth="1"/>
    <col min="3" max="3" width="44.81640625" bestFit="1" customWidth="1"/>
    <col min="4" max="5" width="11.453125" style="148" customWidth="1"/>
    <col min="6" max="6" width="16.1796875" style="148" bestFit="1" customWidth="1"/>
    <col min="7" max="7" width="13.81640625" style="148" customWidth="1"/>
    <col min="8" max="8" width="11.453125" customWidth="1"/>
    <col min="9" max="9" width="6.1796875" style="23" hidden="1" customWidth="1"/>
    <col min="10" max="10" width="0" hidden="1" customWidth="1"/>
    <col min="11" max="16384" width="11.453125" hidden="1"/>
  </cols>
  <sheetData>
    <row r="1" spans="1:8" ht="15.5" x14ac:dyDescent="0.35">
      <c r="A1" s="16" t="s">
        <v>1</v>
      </c>
      <c r="B1" s="186" t="s">
        <v>377</v>
      </c>
      <c r="C1" s="187"/>
      <c r="D1" s="187"/>
      <c r="E1" s="188"/>
      <c r="F1" s="51" t="s">
        <v>97</v>
      </c>
      <c r="G1" s="61" t="s">
        <v>24</v>
      </c>
      <c r="H1" s="63">
        <v>2007</v>
      </c>
    </row>
    <row r="2" spans="1:8" ht="16" thickBot="1" x14ac:dyDescent="0.4">
      <c r="A2" s="17" t="s">
        <v>4</v>
      </c>
      <c r="B2" s="198" t="s">
        <v>378</v>
      </c>
      <c r="C2" s="199"/>
      <c r="D2" s="199"/>
      <c r="E2" s="199"/>
      <c r="F2" s="200"/>
      <c r="G2" s="62" t="s">
        <v>3</v>
      </c>
      <c r="H2" s="64">
        <f>2022-H1</f>
        <v>15</v>
      </c>
    </row>
    <row r="3" spans="1:8" ht="15" outlineLevel="1" thickBot="1" x14ac:dyDescent="0.4">
      <c r="A3" s="189" t="s">
        <v>26</v>
      </c>
      <c r="B3" s="190"/>
      <c r="C3" s="190"/>
      <c r="D3" s="190"/>
      <c r="E3" s="191"/>
      <c r="F3" s="46" t="s">
        <v>27</v>
      </c>
      <c r="G3" s="47" t="s">
        <v>28</v>
      </c>
      <c r="H3" s="22" t="s">
        <v>234</v>
      </c>
    </row>
    <row r="4" spans="1:8" outlineLevel="1" x14ac:dyDescent="0.35">
      <c r="A4" s="192" t="s">
        <v>30</v>
      </c>
      <c r="B4" s="193"/>
      <c r="C4" s="193"/>
      <c r="D4" s="193"/>
      <c r="E4" s="194"/>
      <c r="F4" s="25">
        <v>10</v>
      </c>
      <c r="G4" s="55" t="s">
        <v>32</v>
      </c>
      <c r="H4" s="34">
        <f>F4</f>
        <v>10</v>
      </c>
    </row>
    <row r="5" spans="1:8" outlineLevel="1" x14ac:dyDescent="0.35">
      <c r="A5" s="195" t="s">
        <v>85</v>
      </c>
      <c r="B5" s="196"/>
      <c r="C5" s="196"/>
      <c r="D5" s="196"/>
      <c r="E5" s="197"/>
      <c r="F5" s="14">
        <v>10</v>
      </c>
      <c r="G5" s="56" t="s">
        <v>32</v>
      </c>
      <c r="H5" s="35">
        <f>F5</f>
        <v>10</v>
      </c>
    </row>
    <row r="6" spans="1:8" outlineLevel="1" x14ac:dyDescent="0.35">
      <c r="A6" s="195" t="s">
        <v>33</v>
      </c>
      <c r="B6" s="196"/>
      <c r="C6" s="196"/>
      <c r="D6" s="196"/>
      <c r="E6" s="197"/>
      <c r="F6" s="14">
        <v>20</v>
      </c>
      <c r="G6" s="56" t="s">
        <v>31</v>
      </c>
      <c r="H6" s="35">
        <f>IF(F6="",0,VLOOKUP(F6,Punktetabellen!A10:B15,2,1))</f>
        <v>10</v>
      </c>
    </row>
    <row r="7" spans="1:8" outlineLevel="1" x14ac:dyDescent="0.35">
      <c r="A7" s="195" t="s">
        <v>34</v>
      </c>
      <c r="B7" s="196"/>
      <c r="C7" s="196"/>
      <c r="D7" s="196"/>
      <c r="E7" s="197"/>
      <c r="F7" s="14">
        <v>0</v>
      </c>
      <c r="G7" s="56" t="s">
        <v>31</v>
      </c>
      <c r="H7" s="35">
        <f>IF(F7="",0,VLOOKUP(F7,Punktetabellen!A3:B6,2,0))</f>
        <v>5</v>
      </c>
    </row>
    <row r="8" spans="1:8" ht="15" outlineLevel="1" thickBot="1" x14ac:dyDescent="0.4">
      <c r="A8" s="204" t="s">
        <v>35</v>
      </c>
      <c r="B8" s="205"/>
      <c r="C8" s="205"/>
      <c r="D8" s="205"/>
      <c r="E8" s="206"/>
      <c r="F8" s="41">
        <v>0</v>
      </c>
      <c r="G8" s="57" t="s">
        <v>31</v>
      </c>
      <c r="H8" s="36">
        <f>IF(F8="",0,VLOOKUP(F8,Punktetabellen!A3:B6,2,0))</f>
        <v>5</v>
      </c>
    </row>
    <row r="9" spans="1:8" ht="15" thickBot="1" x14ac:dyDescent="0.4">
      <c r="A9" s="210" t="s">
        <v>36</v>
      </c>
      <c r="B9" s="211"/>
      <c r="C9" s="211"/>
      <c r="D9" s="211"/>
      <c r="E9" s="211"/>
      <c r="F9" s="211"/>
      <c r="G9" s="211"/>
      <c r="H9" s="48">
        <f>SUM(H4:H8)</f>
        <v>40</v>
      </c>
    </row>
    <row r="10" spans="1:8" ht="15" outlineLevel="1" thickBot="1" x14ac:dyDescent="0.4">
      <c r="A10" s="189" t="s">
        <v>26</v>
      </c>
      <c r="B10" s="190"/>
      <c r="C10" s="190"/>
      <c r="D10" s="190"/>
      <c r="E10" s="191"/>
      <c r="F10" s="46" t="s">
        <v>27</v>
      </c>
      <c r="G10" s="47" t="s">
        <v>28</v>
      </c>
      <c r="H10" s="22" t="s">
        <v>234</v>
      </c>
    </row>
    <row r="11" spans="1:8" outlineLevel="1" x14ac:dyDescent="0.35">
      <c r="A11" s="207" t="s">
        <v>37</v>
      </c>
      <c r="B11" s="208"/>
      <c r="C11" s="208"/>
      <c r="D11" s="208"/>
      <c r="E11" s="209"/>
      <c r="F11" s="26">
        <v>2</v>
      </c>
      <c r="G11" s="58" t="s">
        <v>31</v>
      </c>
      <c r="H11" s="37">
        <f>IF($F11="",0,VLOOKUP($F11,Pkte_Klimmzug[],$H$2,1))</f>
        <v>0</v>
      </c>
    </row>
    <row r="12" spans="1:8" outlineLevel="1" x14ac:dyDescent="0.35">
      <c r="A12" s="201" t="s">
        <v>38</v>
      </c>
      <c r="B12" s="202"/>
      <c r="C12" s="202"/>
      <c r="D12" s="202"/>
      <c r="E12" s="203"/>
      <c r="F12" s="27">
        <v>1</v>
      </c>
      <c r="G12" s="59" t="s">
        <v>31</v>
      </c>
      <c r="H12" s="38">
        <f>IF($F12="",0,VLOOKUP($F12,Pkte_Beinheben[],$H$2,1))</f>
        <v>0</v>
      </c>
    </row>
    <row r="13" spans="1:8" outlineLevel="1" x14ac:dyDescent="0.35">
      <c r="A13" s="201" t="s">
        <v>88</v>
      </c>
      <c r="B13" s="202"/>
      <c r="C13" s="202"/>
      <c r="D13" s="202"/>
      <c r="E13" s="203"/>
      <c r="F13" s="27">
        <v>110</v>
      </c>
      <c r="G13" s="59" t="s">
        <v>31</v>
      </c>
      <c r="H13" s="38">
        <f>IF($F13="",0,VLOOKUP($F13,Pkte_Flieger[],$H$2,1))</f>
        <v>10</v>
      </c>
    </row>
    <row r="14" spans="1:8" outlineLevel="1" x14ac:dyDescent="0.35">
      <c r="A14" s="201" t="s">
        <v>39</v>
      </c>
      <c r="B14" s="202"/>
      <c r="C14" s="202"/>
      <c r="D14" s="202"/>
      <c r="E14" s="203"/>
      <c r="F14" s="27">
        <v>29</v>
      </c>
      <c r="G14" s="59" t="s">
        <v>31</v>
      </c>
      <c r="H14" s="38">
        <f>IF($F14="",0,VLOOKUP($F14,Pkte_Rollenverbindung[],$H$2,1))</f>
        <v>10</v>
      </c>
    </row>
    <row r="15" spans="1:8" outlineLevel="1" x14ac:dyDescent="0.35">
      <c r="A15" s="201" t="s">
        <v>89</v>
      </c>
      <c r="B15" s="202"/>
      <c r="C15" s="202"/>
      <c r="D15" s="202"/>
      <c r="E15" s="203"/>
      <c r="F15" s="27">
        <v>9</v>
      </c>
      <c r="G15" s="59" t="s">
        <v>31</v>
      </c>
      <c r="H15" s="38">
        <f>IF($F15="",0,VLOOKUP($F15,Pkte_Prellsprung[],$H$2,1))</f>
        <v>9</v>
      </c>
    </row>
    <row r="16" spans="1:8" outlineLevel="1" x14ac:dyDescent="0.35">
      <c r="A16" s="201" t="s">
        <v>90</v>
      </c>
      <c r="B16" s="202"/>
      <c r="C16" s="202"/>
      <c r="D16" s="202"/>
      <c r="E16" s="203"/>
      <c r="F16" s="28">
        <v>30</v>
      </c>
      <c r="G16" s="59" t="s">
        <v>31</v>
      </c>
      <c r="H16" s="38">
        <f>IF($F16="",0,VLOOKUP($F16,Pkte_Handstand[],$H$2,1))</f>
        <v>10</v>
      </c>
    </row>
    <row r="17" spans="1:8" ht="15" outlineLevel="1" thickBot="1" x14ac:dyDescent="0.4">
      <c r="A17" s="112" t="s">
        <v>93</v>
      </c>
      <c r="B17" s="113"/>
      <c r="C17" s="114" t="s">
        <v>269</v>
      </c>
      <c r="D17" s="29">
        <v>7</v>
      </c>
      <c r="E17" s="115" t="s">
        <v>270</v>
      </c>
      <c r="F17" s="29">
        <v>5</v>
      </c>
      <c r="G17" s="60" t="s">
        <v>31</v>
      </c>
      <c r="H17" s="39">
        <f>IF($F17="",0,IF($F$1="weiblich",VLOOKUP((100*$D17+$F17),Pkte_Shuttle_W[],$H$2,1),VLOOKUP((100*$D17+$F17),Pkte_Shuttle_M[],$H$2,1)))</f>
        <v>5</v>
      </c>
    </row>
    <row r="18" spans="1:8" ht="15" thickBot="1" x14ac:dyDescent="0.4">
      <c r="A18" s="161" t="s">
        <v>40</v>
      </c>
      <c r="B18" s="162"/>
      <c r="C18" s="162"/>
      <c r="D18" s="162"/>
      <c r="E18" s="162"/>
      <c r="F18" s="162"/>
      <c r="G18" s="162"/>
      <c r="H18" s="48">
        <f>SUM(H11:H17)</f>
        <v>44</v>
      </c>
    </row>
    <row r="19" spans="1:8" ht="15" outlineLevel="1" thickBot="1" x14ac:dyDescent="0.4">
      <c r="A19" s="159" t="s">
        <v>26</v>
      </c>
      <c r="B19" s="160"/>
      <c r="C19" s="160"/>
      <c r="D19" s="85" t="s">
        <v>235</v>
      </c>
      <c r="E19" s="85" t="s">
        <v>238</v>
      </c>
      <c r="F19" s="85" t="s">
        <v>236</v>
      </c>
      <c r="G19" s="86" t="s">
        <v>28</v>
      </c>
      <c r="H19" s="49" t="s">
        <v>234</v>
      </c>
    </row>
    <row r="20" spans="1:8" outlineLevel="1" x14ac:dyDescent="0.35">
      <c r="A20" s="167" t="s">
        <v>148</v>
      </c>
      <c r="B20" s="168"/>
      <c r="C20" s="116" t="str">
        <f>Infos!A10</f>
        <v>Druckmessplatte</v>
      </c>
      <c r="D20" s="90">
        <f>IF(F1="männlich",VLOOKUP(H2,Standsprünge!A3:C15,3,0),VLOOKUP(H2,Standsprünge!A3:B15,2,0))+IF(C20="Druckmessplatte",0)</f>
        <v>15.9</v>
      </c>
      <c r="E20" s="90"/>
      <c r="F20" s="67">
        <v>17.204999999999998</v>
      </c>
      <c r="G20" s="91" t="s">
        <v>149</v>
      </c>
      <c r="H20" s="88">
        <f>IF(F20="",0,(F20-D20)*10)</f>
        <v>13.049999999999979</v>
      </c>
    </row>
    <row r="21" spans="1:8" outlineLevel="1" x14ac:dyDescent="0.35">
      <c r="A21" s="165" t="str">
        <f>IF(H2&gt;15,"entfällt","TBN")</f>
        <v>TBN</v>
      </c>
      <c r="B21" s="166"/>
      <c r="C21" s="77" t="s">
        <v>350</v>
      </c>
      <c r="D21" s="78">
        <v>11</v>
      </c>
      <c r="E21" s="78">
        <f ca="1">IF(C21="","",VLOOKUP(C21,INDIRECT($C$57),3,0))</f>
        <v>6</v>
      </c>
      <c r="F21" s="42">
        <v>2</v>
      </c>
      <c r="G21" s="71" t="str">
        <f>IF(H2&gt;16,"entfällt","Wert - Abzug")</f>
        <v>Wert - Abzug</v>
      </c>
      <c r="H21" s="66">
        <f>IF(A21="entfällt",0,IF(F21="",0,D21-F21))</f>
        <v>9</v>
      </c>
    </row>
    <row r="22" spans="1:8" outlineLevel="1" x14ac:dyDescent="0.35">
      <c r="A22" s="165" t="str">
        <f>IF(H2&gt;15,"entfällt","TBN")</f>
        <v>TBN</v>
      </c>
      <c r="B22" s="166"/>
      <c r="C22" s="77" t="s">
        <v>353</v>
      </c>
      <c r="D22" s="78">
        <f ca="1">IF(C22="","",VLOOKUP(C22,INDIRECT($C$57),2,0))</f>
        <v>11</v>
      </c>
      <c r="E22" s="78">
        <f ca="1">IF(C22="","",VLOOKUP(C22,INDIRECT($C$57),3,0))</f>
        <v>6</v>
      </c>
      <c r="F22" s="42">
        <v>0</v>
      </c>
      <c r="G22" s="71" t="str">
        <f>IF(H2&gt;16,"entfällt","Wert - Abzug")</f>
        <v>Wert - Abzug</v>
      </c>
      <c r="H22" s="66">
        <f t="shared" ref="H22:H28" ca="1" si="0">IF(A22="entfällt",0,IF(F22="",0,D22-F22))</f>
        <v>11</v>
      </c>
    </row>
    <row r="23" spans="1:8" outlineLevel="1" x14ac:dyDescent="0.35">
      <c r="A23" s="165" t="str">
        <f>IF(H2&gt;11,"entfällt","TBN")</f>
        <v>entfällt</v>
      </c>
      <c r="B23" s="166"/>
      <c r="C23" s="77"/>
      <c r="D23" s="78" t="str">
        <f ca="1">IF(C23="","",VLOOKUP(C23,INDIRECT($C$57),2,0))</f>
        <v/>
      </c>
      <c r="E23" s="78" t="str">
        <f ca="1">IF(C23="","",VLOOKUP(C23,INDIRECT($C$57),3,0))</f>
        <v/>
      </c>
      <c r="F23" s="42"/>
      <c r="G23" s="71" t="str">
        <f>IF(H2&gt;16,"entfällt","Wert - Abzug")</f>
        <v>Wert - Abzug</v>
      </c>
      <c r="H23" s="66">
        <f t="shared" si="0"/>
        <v>0</v>
      </c>
    </row>
    <row r="24" spans="1:8" outlineLevel="1" x14ac:dyDescent="0.35">
      <c r="A24" s="110" t="s">
        <v>147</v>
      </c>
      <c r="B24" s="111"/>
      <c r="C24" s="77" t="s">
        <v>185</v>
      </c>
      <c r="D24" s="78">
        <v>15</v>
      </c>
      <c r="E24" s="78">
        <v>6</v>
      </c>
      <c r="F24" s="42">
        <v>2</v>
      </c>
      <c r="G24" s="71" t="s">
        <v>146</v>
      </c>
      <c r="H24" s="66">
        <f t="shared" si="0"/>
        <v>13</v>
      </c>
    </row>
    <row r="25" spans="1:8" outlineLevel="1" x14ac:dyDescent="0.35">
      <c r="A25" s="110" t="s">
        <v>147</v>
      </c>
      <c r="B25" s="111"/>
      <c r="C25" s="77" t="s">
        <v>189</v>
      </c>
      <c r="D25" s="78">
        <v>15</v>
      </c>
      <c r="E25" s="78">
        <v>6</v>
      </c>
      <c r="F25" s="42">
        <v>2</v>
      </c>
      <c r="G25" s="71" t="s">
        <v>146</v>
      </c>
      <c r="H25" s="66">
        <f t="shared" si="0"/>
        <v>13</v>
      </c>
    </row>
    <row r="26" spans="1:8" outlineLevel="1" x14ac:dyDescent="0.35">
      <c r="A26" s="110" t="s">
        <v>147</v>
      </c>
      <c r="B26" s="111"/>
      <c r="C26" s="77" t="s">
        <v>186</v>
      </c>
      <c r="D26" s="78">
        <v>14</v>
      </c>
      <c r="E26" s="78">
        <v>6</v>
      </c>
      <c r="F26" s="42">
        <v>2</v>
      </c>
      <c r="G26" s="71" t="s">
        <v>146</v>
      </c>
      <c r="H26" s="66">
        <f t="shared" si="0"/>
        <v>12</v>
      </c>
    </row>
    <row r="27" spans="1:8" outlineLevel="1" x14ac:dyDescent="0.35">
      <c r="A27" s="110" t="str">
        <f>IF(H2&gt;11,"TN","entfällt")</f>
        <v>TN</v>
      </c>
      <c r="B27" s="111"/>
      <c r="C27" s="77" t="s">
        <v>73</v>
      </c>
      <c r="D27" s="78">
        <v>17</v>
      </c>
      <c r="E27" s="78">
        <v>6</v>
      </c>
      <c r="F27" s="42">
        <v>4</v>
      </c>
      <c r="G27" s="71" t="str">
        <f>IF(H2&gt;12,"Wert - Abzug","entfällt")</f>
        <v>Wert - Abzug</v>
      </c>
      <c r="H27" s="66">
        <f t="shared" si="0"/>
        <v>13</v>
      </c>
    </row>
    <row r="28" spans="1:8" outlineLevel="1" x14ac:dyDescent="0.35">
      <c r="A28" s="110" t="str">
        <f>IF(H2&gt;15,"TN","entfällt")</f>
        <v>entfällt</v>
      </c>
      <c r="B28" s="111"/>
      <c r="C28" s="77"/>
      <c r="D28" s="78"/>
      <c r="E28" s="78"/>
      <c r="F28" s="42"/>
      <c r="G28" s="71" t="str">
        <f>IF(H2&gt;16,"Wert - Abzug","entfällt")</f>
        <v>entfällt</v>
      </c>
      <c r="H28" s="66">
        <f t="shared" si="0"/>
        <v>0</v>
      </c>
    </row>
    <row r="29" spans="1:8" outlineLevel="1" x14ac:dyDescent="0.35">
      <c r="A29" s="110" t="str">
        <f>IF(H2&gt;15,"TN","entfällt")</f>
        <v>entfällt</v>
      </c>
      <c r="B29" s="111"/>
      <c r="C29" s="77"/>
      <c r="D29" s="78"/>
      <c r="E29" s="78"/>
      <c r="F29" s="42"/>
      <c r="G29" s="71" t="str">
        <f>IF(H2&gt;16,"Wert - Abzug","entfällt")</f>
        <v>entfällt</v>
      </c>
      <c r="H29" s="66">
        <f>IF(A29="entfällt",0,IF(F29="",0,D29-F29))</f>
        <v>0</v>
      </c>
    </row>
    <row r="30" spans="1:8" outlineLevel="1" x14ac:dyDescent="0.35">
      <c r="A30" s="165" t="str">
        <f>IF($H$2&gt;10,"Verbindung Sprung 1","entfällt")</f>
        <v>Verbindung Sprung 1</v>
      </c>
      <c r="B30" s="166"/>
      <c r="C30" s="40" t="str">
        <f ca="1">IF(A30&lt;&gt;"entfällt",VLOOKUP(1,INDIRECT($C$68),2,0),"")</f>
        <v>801&lt;</v>
      </c>
      <c r="D30" s="40">
        <f ca="1">IF(A30&lt;&gt;"entfällt",VLOOKUP(1,INDIRECT($C$68),3,0),"")</f>
        <v>13</v>
      </c>
      <c r="E30" s="40">
        <f ca="1">IF(A30&lt;&gt;"entfällt",VLOOKUP(1,INDIRECT($C$68),4,0),"")</f>
        <v>3</v>
      </c>
      <c r="F30" s="42">
        <v>1</v>
      </c>
      <c r="G30" s="71" t="str">
        <f>IF(H2&gt;12,"Wert - Abzug","entfällt")</f>
        <v>Wert - Abzug</v>
      </c>
      <c r="H30" s="66"/>
    </row>
    <row r="31" spans="1:8" outlineLevel="1" x14ac:dyDescent="0.35">
      <c r="A31" s="165" t="str">
        <f>IF($H$2&gt;10,"Verbindung Sprung 2","entfällt")</f>
        <v>Verbindung Sprung 2</v>
      </c>
      <c r="B31" s="166"/>
      <c r="C31" s="40" t="str">
        <f ca="1">IF(A31&lt;&gt;"entfällt",VLOOKUP(2,INDIRECT($C$68),2,0),"")</f>
        <v>40&lt;</v>
      </c>
      <c r="D31" s="40">
        <f ca="1">IF(A31&lt;&gt;"entfällt",VLOOKUP(2,INDIRECT($C$68),3,0),"")</f>
        <v>6</v>
      </c>
      <c r="E31" s="40">
        <f ca="1">IF(A31&lt;&gt;"entfällt",VLOOKUP(2,INDIRECT($C$68),4,0),"")</f>
        <v>3</v>
      </c>
      <c r="F31" s="42">
        <v>1</v>
      </c>
      <c r="G31" s="71" t="str">
        <f>IF(H2&gt;12,"Wert - Abzug","entfällt")</f>
        <v>Wert - Abzug</v>
      </c>
      <c r="H31" s="66"/>
    </row>
    <row r="32" spans="1:8" outlineLevel="1" x14ac:dyDescent="0.35">
      <c r="A32" s="165" t="str">
        <f>IF($H$2&gt;10,"Verbindung Sprung 3","entfällt")</f>
        <v>Verbindung Sprung 3</v>
      </c>
      <c r="B32" s="166"/>
      <c r="C32" s="40" t="str">
        <f ca="1">IF(A32&lt;&gt;"entfällt",VLOOKUP(3,INDIRECT($C$68),2,0),"")</f>
        <v>801°</v>
      </c>
      <c r="D32" s="40">
        <f ca="1">IF(A32&lt;&gt;"entfällt",VLOOKUP(3,INDIRECT($C$68),3,0),"")</f>
        <v>11</v>
      </c>
      <c r="E32" s="40">
        <f ca="1">IF(A32&lt;&gt;"entfällt",VLOOKUP(3,INDIRECT($C$68),4,0),"")</f>
        <v>3</v>
      </c>
      <c r="F32" s="42">
        <v>1</v>
      </c>
      <c r="G32" s="71" t="str">
        <f>IF(H2&gt;12,"Wert - Abzug","entfällt")</f>
        <v>Wert - Abzug</v>
      </c>
      <c r="H32" s="66"/>
    </row>
    <row r="33" spans="1:8" outlineLevel="1" x14ac:dyDescent="0.35">
      <c r="A33" s="165" t="str">
        <f>IF($H$2&gt;10,"Verbindung Sprung 4","entfällt")</f>
        <v>Verbindung Sprung 4</v>
      </c>
      <c r="B33" s="166"/>
      <c r="C33" s="40" t="str">
        <f ca="1">IF(A33&lt;&gt;"entfällt",VLOOKUP(4,INDIRECT($C$68),2,0),"")</f>
        <v>40/</v>
      </c>
      <c r="D33" s="40">
        <f ca="1">IF(A33&lt;&gt;"entfällt",VLOOKUP(4,INDIRECT($C$68),3,0),"")</f>
        <v>6</v>
      </c>
      <c r="E33" s="40">
        <f ca="1">IF(A33&lt;&gt;"entfällt",VLOOKUP(4,INDIRECT($C$68),4,0),"")</f>
        <v>3</v>
      </c>
      <c r="F33" s="42">
        <v>1</v>
      </c>
      <c r="G33" s="71" t="str">
        <f>IF(H2&gt;12,"Wert - Abzug","entfällt")</f>
        <v>Wert - Abzug</v>
      </c>
      <c r="H33" s="66"/>
    </row>
    <row r="34" spans="1:8" outlineLevel="1" x14ac:dyDescent="0.35">
      <c r="A34" s="165" t="str">
        <f>IF($H$2&gt;10,"Verbindung Sprung 5","entfällt")</f>
        <v>Verbindung Sprung 5</v>
      </c>
      <c r="B34" s="166"/>
      <c r="C34" s="40" t="str">
        <f ca="1">IF(A34&lt;&gt;"entfällt",VLOOKUP(5,INDIRECT($C$68),2,0),"")</f>
        <v>41/</v>
      </c>
      <c r="D34" s="40">
        <f ca="1">IF(A34&lt;&gt;"entfällt",VLOOKUP(5,INDIRECT($C$68),3,0),"")</f>
        <v>6</v>
      </c>
      <c r="E34" s="40">
        <f ca="1">IF(A34&lt;&gt;"entfällt",VLOOKUP(5,INDIRECT($C$68),4,0),"")</f>
        <v>3</v>
      </c>
      <c r="F34" s="42">
        <v>1</v>
      </c>
      <c r="G34" s="71" t="str">
        <f>IF(H2&gt;12,"Wert - Abzug","entfällt")</f>
        <v>Wert - Abzug</v>
      </c>
      <c r="H34" s="66"/>
    </row>
    <row r="35" spans="1:8" ht="15" outlineLevel="1" thickBot="1" x14ac:dyDescent="0.4">
      <c r="A35" s="171" t="str">
        <f>IF($H$2&gt;10,"Verbindung Sprung 6","entfällt")</f>
        <v>Verbindung Sprung 6</v>
      </c>
      <c r="B35" s="172"/>
      <c r="C35" s="68" t="str">
        <f ca="1">IF(A35&lt;&gt;"entfällt",VLOOKUP(6,INDIRECT($C$68),2,0),"")</f>
        <v>800°</v>
      </c>
      <c r="D35" s="68">
        <f ca="1">IF(A35&lt;&gt;"entfällt",VLOOKUP(6,INDIRECT($C$68),3,0),"")</f>
        <v>10</v>
      </c>
      <c r="E35" s="68">
        <f ca="1">IF(A35&lt;&gt;"entfällt",VLOOKUP(6,INDIRECT($C$68),4,0),"")</f>
        <v>3</v>
      </c>
      <c r="F35" s="69">
        <v>1</v>
      </c>
      <c r="G35" s="72" t="str">
        <f>IF(H2&gt;12,"Wert - Abzug","entfällt")</f>
        <v>Wert - Abzug</v>
      </c>
      <c r="H35" s="70">
        <f>30-F30-F31-F32-F33-F34-F35</f>
        <v>24</v>
      </c>
    </row>
    <row r="36" spans="1:8" ht="15" thickBot="1" x14ac:dyDescent="0.4">
      <c r="A36" s="173" t="s">
        <v>41</v>
      </c>
      <c r="B36" s="174"/>
      <c r="C36" s="174"/>
      <c r="D36" s="174"/>
      <c r="E36" s="174"/>
      <c r="F36" s="174"/>
      <c r="G36" s="175"/>
      <c r="H36" s="89">
        <f ca="1">SUM(H20:H35)</f>
        <v>108.04999999999998</v>
      </c>
    </row>
    <row r="37" spans="1:8" ht="15" outlineLevel="1" thickBot="1" x14ac:dyDescent="0.4">
      <c r="A37" s="181" t="s">
        <v>99</v>
      </c>
      <c r="B37" s="182"/>
      <c r="C37" s="182"/>
      <c r="D37" s="183"/>
      <c r="E37" s="85" t="s">
        <v>27</v>
      </c>
      <c r="F37" s="85" t="s">
        <v>237</v>
      </c>
      <c r="G37" s="86" t="s">
        <v>28</v>
      </c>
      <c r="H37" s="49" t="s">
        <v>234</v>
      </c>
    </row>
    <row r="38" spans="1:8" outlineLevel="1" x14ac:dyDescent="0.35">
      <c r="A38" s="179" t="str">
        <f ca="1">VLOOKUP(1,INDIRECT($C$65),2,0)</f>
        <v>Flugrolle mit Überstrecken mit Anlauf</v>
      </c>
      <c r="B38" s="180"/>
      <c r="C38" s="180"/>
      <c r="D38" s="180"/>
      <c r="E38" s="92">
        <f ca="1">VLOOKUP(1,INDIRECT($C$65),3,0)</f>
        <v>3</v>
      </c>
      <c r="F38" s="79">
        <v>0</v>
      </c>
      <c r="G38" s="80" t="s">
        <v>146</v>
      </c>
      <c r="H38" s="84">
        <f ca="1">IF(E38=" ","",IF(F38="",0,E38-F38))</f>
        <v>3</v>
      </c>
    </row>
    <row r="39" spans="1:8" outlineLevel="1" x14ac:dyDescent="0.35">
      <c r="A39" s="163" t="str">
        <f ca="1">VLOOKUP(2,INDIRECT($C$65),2,0)</f>
        <v>--&gt; Strecksprung, Salto vorwärts gehockt</v>
      </c>
      <c r="B39" s="164"/>
      <c r="C39" s="164"/>
      <c r="D39" s="164"/>
      <c r="E39" s="87">
        <f ca="1">VLOOKUP(2,INDIRECT($C$65),3,0)</f>
        <v>4.5</v>
      </c>
      <c r="F39" s="43">
        <v>0</v>
      </c>
      <c r="G39" s="81" t="s">
        <v>146</v>
      </c>
      <c r="H39" s="84">
        <f t="shared" ref="H39:H49" ca="1" si="1">IF(E39=" ","",IF(F39="",0,E39-F39))</f>
        <v>4.5</v>
      </c>
    </row>
    <row r="40" spans="1:8" outlineLevel="1" x14ac:dyDescent="0.35">
      <c r="A40" s="163" t="str">
        <f ca="1">VLOOKUP(3,INDIRECT($C$65),2,0)</f>
        <v>Vorspreizen, Handstand mit 1/1 Drehung, abrollen</v>
      </c>
      <c r="B40" s="164"/>
      <c r="C40" s="164"/>
      <c r="D40" s="164"/>
      <c r="E40" s="87">
        <f ca="1">VLOOKUP(3,INDIRECT($C$65),3,0)</f>
        <v>3</v>
      </c>
      <c r="F40" s="43">
        <v>0</v>
      </c>
      <c r="G40" s="81" t="s">
        <v>146</v>
      </c>
      <c r="H40" s="84">
        <f t="shared" ca="1" si="1"/>
        <v>3</v>
      </c>
    </row>
    <row r="41" spans="1:8" outlineLevel="1" x14ac:dyDescent="0.35">
      <c r="A41" s="163" t="str">
        <f ca="1">VLOOKUP(4,INDIRECT($C$65),2,0)</f>
        <v>--&gt; Aufstehen mit gestreckten Beinen</v>
      </c>
      <c r="B41" s="164"/>
      <c r="C41" s="164"/>
      <c r="D41" s="164"/>
      <c r="E41" s="87">
        <f ca="1">VLOOKUP(4,INDIRECT($C$65),3,0)</f>
        <v>3</v>
      </c>
      <c r="F41" s="43">
        <v>0</v>
      </c>
      <c r="G41" s="81" t="s">
        <v>146</v>
      </c>
      <c r="H41" s="84">
        <f t="shared" ca="1" si="1"/>
        <v>3</v>
      </c>
    </row>
    <row r="42" spans="1:8" outlineLevel="1" x14ac:dyDescent="0.35">
      <c r="A42" s="163" t="str">
        <f ca="1">VLOOKUP(5,INDIRECT($C$65),2,0)</f>
        <v>Vorspreizen, Bestellschritt, Strecksprung 3/2 Drehung</v>
      </c>
      <c r="B42" s="164"/>
      <c r="C42" s="164"/>
      <c r="D42" s="164"/>
      <c r="E42" s="87">
        <f ca="1">VLOOKUP(5,INDIRECT($C$65),3,0)</f>
        <v>3</v>
      </c>
      <c r="F42" s="43">
        <v>0.5</v>
      </c>
      <c r="G42" s="81" t="s">
        <v>146</v>
      </c>
      <c r="H42" s="84">
        <f t="shared" ca="1" si="1"/>
        <v>2.5</v>
      </c>
    </row>
    <row r="43" spans="1:8" outlineLevel="1" x14ac:dyDescent="0.35">
      <c r="A43" s="163" t="str">
        <f ca="1">VLOOKUP(6,INDIRECT($C$65),2,0)</f>
        <v>Salto rückwärts gehockt</v>
      </c>
      <c r="B43" s="164"/>
      <c r="C43" s="164"/>
      <c r="D43" s="164"/>
      <c r="E43" s="87">
        <f ca="1">VLOOKUP(6,INDIRECT($C$65),3,0)</f>
        <v>3</v>
      </c>
      <c r="F43" s="43">
        <v>0.5</v>
      </c>
      <c r="G43" s="81" t="s">
        <v>146</v>
      </c>
      <c r="H43" s="84">
        <f t="shared" ca="1" si="1"/>
        <v>2.5</v>
      </c>
    </row>
    <row r="44" spans="1:8" outlineLevel="1" x14ac:dyDescent="0.35">
      <c r="A44" s="163" t="str">
        <f ca="1">VLOOKUP(7,INDIRECT($C$65),2,0)</f>
        <v>Handstützüberschlag</v>
      </c>
      <c r="B44" s="164"/>
      <c r="C44" s="164"/>
      <c r="D44" s="164"/>
      <c r="E44" s="87">
        <f ca="1">VLOOKUP(7,INDIRECT($C$65),3,0)</f>
        <v>3</v>
      </c>
      <c r="F44" s="43">
        <v>0</v>
      </c>
      <c r="G44" s="81" t="s">
        <v>146</v>
      </c>
      <c r="H44" s="84">
        <f t="shared" ca="1" si="1"/>
        <v>3</v>
      </c>
    </row>
    <row r="45" spans="1:8" outlineLevel="1" x14ac:dyDescent="0.35">
      <c r="A45" s="163" t="str">
        <f ca="1">VLOOKUP(8,INDIRECT($C$65),2,0)</f>
        <v>--&gt; Ansprung Schrittstellung, Handstand mit zwei Hüpfern</v>
      </c>
      <c r="B45" s="164"/>
      <c r="C45" s="164"/>
      <c r="D45" s="164"/>
      <c r="E45" s="87">
        <f ca="1">VLOOKUP(8,INDIRECT($C$65),3,0)</f>
        <v>3</v>
      </c>
      <c r="F45" s="43">
        <v>0</v>
      </c>
      <c r="G45" s="81" t="s">
        <v>146</v>
      </c>
      <c r="H45" s="84">
        <f t="shared" ca="1" si="1"/>
        <v>3</v>
      </c>
    </row>
    <row r="46" spans="1:8" outlineLevel="1" x14ac:dyDescent="0.35">
      <c r="A46" s="163" t="str">
        <f ca="1">VLOOKUP(9,INDIRECT($C$65),2,0)</f>
        <v>Abrollen --&gt; Strecksprung 1/2 Drehung</v>
      </c>
      <c r="B46" s="164"/>
      <c r="C46" s="164"/>
      <c r="D46" s="164"/>
      <c r="E46" s="87">
        <f ca="1">VLOOKUP(9,INDIRECT($C$65),3,0)</f>
        <v>1.5</v>
      </c>
      <c r="F46" s="43">
        <v>0</v>
      </c>
      <c r="G46" s="81" t="str">
        <f>IF(H2&gt;16,"","Wert - Abzug")</f>
        <v>Wert - Abzug</v>
      </c>
      <c r="H46" s="84">
        <f t="shared" ca="1" si="1"/>
        <v>1.5</v>
      </c>
    </row>
    <row r="47" spans="1:8" outlineLevel="1" x14ac:dyDescent="0.35">
      <c r="A47" s="163" t="str">
        <f ca="1">VLOOKUP(10,INDIRECT($C$65),2,0)</f>
        <v>Salto vorwärts gebückt mit Anlauf</v>
      </c>
      <c r="B47" s="164"/>
      <c r="C47" s="164"/>
      <c r="D47" s="164"/>
      <c r="E47" s="87">
        <f ca="1">VLOOKUP(10,INDIRECT($C$65),3,0)</f>
        <v>3</v>
      </c>
      <c r="F47" s="43">
        <v>0</v>
      </c>
      <c r="G47" s="81" t="str">
        <f>IF(H2&gt;16,"","Wert - Abzug")</f>
        <v>Wert - Abzug</v>
      </c>
      <c r="H47" s="84">
        <f t="shared" ca="1" si="1"/>
        <v>3</v>
      </c>
    </row>
    <row r="48" spans="1:8" outlineLevel="1" x14ac:dyDescent="0.35">
      <c r="A48" s="163" t="str">
        <f ca="1">VLOOKUP(11,INDIRECT($C$65),2,0)</f>
        <v xml:space="preserve"> </v>
      </c>
      <c r="B48" s="164"/>
      <c r="C48" s="164"/>
      <c r="D48" s="164"/>
      <c r="E48" s="87" t="str">
        <f ca="1">VLOOKUP(11,INDIRECT($C$65),3,0)</f>
        <v xml:space="preserve"> </v>
      </c>
      <c r="F48" s="43"/>
      <c r="G48" s="81" t="str">
        <f>IF(H2&gt;13,"","Wert - Abzug")</f>
        <v/>
      </c>
      <c r="H48" s="84" t="str">
        <f t="shared" ca="1" si="1"/>
        <v/>
      </c>
    </row>
    <row r="49" spans="1:8" ht="15" outlineLevel="1" thickBot="1" x14ac:dyDescent="0.4">
      <c r="A49" s="184" t="str">
        <f ca="1">VLOOKUP(12,INDIRECT($C$65),2,0)</f>
        <v xml:space="preserve"> </v>
      </c>
      <c r="B49" s="185"/>
      <c r="C49" s="185"/>
      <c r="D49" s="185"/>
      <c r="E49" s="93" t="str">
        <f ca="1">VLOOKUP(12,INDIRECT($C$65),3,0)</f>
        <v xml:space="preserve"> </v>
      </c>
      <c r="F49" s="82"/>
      <c r="G49" s="83" t="str">
        <f>IF(OR(H2=9,H2=12,H2=13),"Wert - Abzug","")</f>
        <v/>
      </c>
      <c r="H49" s="84" t="str">
        <f t="shared" ca="1" si="1"/>
        <v/>
      </c>
    </row>
    <row r="50" spans="1:8" ht="15" thickBot="1" x14ac:dyDescent="0.4">
      <c r="A50" s="176" t="s">
        <v>98</v>
      </c>
      <c r="B50" s="177"/>
      <c r="C50" s="177"/>
      <c r="D50" s="177"/>
      <c r="E50" s="177"/>
      <c r="F50" s="177"/>
      <c r="G50" s="178"/>
      <c r="H50" s="44">
        <f ca="1">SUM(H38:H49)</f>
        <v>29</v>
      </c>
    </row>
    <row r="51" spans="1:8" ht="16" thickBot="1" x14ac:dyDescent="0.4">
      <c r="A51" s="169" t="s">
        <v>42</v>
      </c>
      <c r="B51" s="170"/>
      <c r="C51" s="170"/>
      <c r="D51" s="170"/>
      <c r="E51" s="170"/>
      <c r="F51" s="170"/>
      <c r="G51" s="170"/>
      <c r="H51" s="94">
        <f ca="1">SUM(H9,H18,H36,H50)</f>
        <v>221.04999999999998</v>
      </c>
    </row>
    <row r="52" spans="1:8" s="23" customFormat="1" x14ac:dyDescent="0.35">
      <c r="D52" s="50"/>
      <c r="E52" s="50"/>
      <c r="F52" s="50"/>
      <c r="G52" s="50"/>
    </row>
    <row r="53" spans="1:8" s="23" customFormat="1" hidden="1" x14ac:dyDescent="0.35">
      <c r="C53" s="24"/>
      <c r="D53" s="50"/>
      <c r="E53" s="50"/>
      <c r="F53" s="50"/>
      <c r="G53" s="50"/>
    </row>
    <row r="54" spans="1:8" s="23" customFormat="1" hidden="1" x14ac:dyDescent="0.35">
      <c r="B54" s="23" t="s">
        <v>249</v>
      </c>
      <c r="C54" s="23" t="str">
        <f>IF(H2&lt;13,"beide",F1)</f>
        <v>weiblich</v>
      </c>
      <c r="D54" s="50"/>
      <c r="E54" s="50"/>
      <c r="F54" s="50"/>
      <c r="G54" s="50"/>
    </row>
    <row r="55" spans="1:8" s="23" customFormat="1" hidden="1" x14ac:dyDescent="0.35">
      <c r="B55" s="23" t="s">
        <v>3</v>
      </c>
      <c r="C55" s="23" t="str">
        <f>IF(OR(H2=8,H2=11),H2,IF(H2&lt;11,"9_10",IF(H2&lt;14,"12_13",IF(H2&lt;16,"14_15",IF(H2&lt;18,"16_17",18)))))</f>
        <v>14_15</v>
      </c>
      <c r="D55" s="50"/>
      <c r="E55" s="50"/>
      <c r="F55" s="50"/>
      <c r="G55" s="50"/>
    </row>
    <row r="56" spans="1:8" s="23" customFormat="1" hidden="1" x14ac:dyDescent="0.35">
      <c r="D56" s="50"/>
      <c r="E56" s="50"/>
      <c r="F56" s="50"/>
      <c r="G56" s="50"/>
    </row>
    <row r="57" spans="1:8" s="23" customFormat="1" hidden="1" x14ac:dyDescent="0.35">
      <c r="B57" s="23" t="s">
        <v>251</v>
      </c>
      <c r="C57" s="23" t="str">
        <f>"TBN_"&amp;C54&amp;"_"&amp;C55</f>
        <v>TBN_weiblich_14_15</v>
      </c>
      <c r="D57" s="50"/>
      <c r="E57" s="50"/>
      <c r="F57" s="50"/>
      <c r="G57" s="50"/>
    </row>
    <row r="58" spans="1:8" s="23" customFormat="1" hidden="1" x14ac:dyDescent="0.35">
      <c r="C58" s="23" t="str">
        <f>C57&amp;"[Beschreibung]"</f>
        <v>TBN_weiblich_14_15[Beschreibung]</v>
      </c>
      <c r="D58" s="50"/>
      <c r="E58" s="50"/>
      <c r="F58" s="50"/>
      <c r="G58" s="50"/>
    </row>
    <row r="59" spans="1:8" s="23" customFormat="1" hidden="1" x14ac:dyDescent="0.35">
      <c r="D59" s="50"/>
      <c r="E59" s="50"/>
      <c r="F59" s="50"/>
      <c r="G59" s="50"/>
    </row>
    <row r="60" spans="1:8" s="23" customFormat="1" hidden="1" x14ac:dyDescent="0.35">
      <c r="B60" s="23" t="s">
        <v>147</v>
      </c>
      <c r="C60" s="23" t="str">
        <f>"TN_"&amp;C54&amp;"_"&amp;C55</f>
        <v>TN_weiblich_14_15</v>
      </c>
      <c r="D60" s="50"/>
      <c r="E60" s="50"/>
      <c r="F60" s="50"/>
      <c r="G60" s="50"/>
    </row>
    <row r="61" spans="1:8" s="23" customFormat="1" hidden="1" x14ac:dyDescent="0.35">
      <c r="C61" s="23" t="str">
        <f>C60&amp;"[Beschreibung]"</f>
        <v>TN_weiblich_14_15[Beschreibung]</v>
      </c>
      <c r="D61" s="50"/>
      <c r="E61" s="50"/>
      <c r="F61" s="50"/>
      <c r="G61" s="50"/>
    </row>
    <row r="62" spans="1:8" s="23" customFormat="1" hidden="1" x14ac:dyDescent="0.35">
      <c r="D62" s="50"/>
      <c r="E62" s="50"/>
      <c r="F62" s="50"/>
      <c r="G62" s="50"/>
    </row>
    <row r="63" spans="1:8" s="23" customFormat="1" hidden="1" x14ac:dyDescent="0.35">
      <c r="B63" s="23" t="s">
        <v>17</v>
      </c>
      <c r="C63" s="23" t="str">
        <f>"TV_"&amp;F1&amp;"_"&amp;C55</f>
        <v>TV_weiblich_14_15</v>
      </c>
      <c r="D63" s="50"/>
      <c r="E63" s="50"/>
      <c r="F63" s="50"/>
      <c r="G63" s="50"/>
    </row>
    <row r="64" spans="1:8" s="23" customFormat="1" hidden="1" x14ac:dyDescent="0.35">
      <c r="D64" s="50"/>
      <c r="E64" s="50"/>
      <c r="F64" s="50"/>
      <c r="G64" s="50"/>
    </row>
    <row r="65" spans="2:7" s="23" customFormat="1" hidden="1" x14ac:dyDescent="0.35">
      <c r="B65" s="23" t="s">
        <v>252</v>
      </c>
      <c r="C65" s="23" t="str">
        <f>"BKÜ"&amp;IF(H2=9,"_9",IF(H2&lt;12,"_10_11",IF(H2&lt;14,"_12_13",IF(H2&lt;17,"_14_16","_17"))))</f>
        <v>BKÜ_14_16</v>
      </c>
      <c r="D65" s="50"/>
      <c r="E65" s="50"/>
      <c r="F65" s="50"/>
      <c r="G65" s="50"/>
    </row>
    <row r="66" spans="2:7" s="23" customFormat="1" hidden="1" x14ac:dyDescent="0.35">
      <c r="D66" s="50"/>
      <c r="E66" s="50"/>
      <c r="F66" s="50"/>
      <c r="G66" s="50"/>
    </row>
    <row r="67" spans="2:7" s="23" customFormat="1" hidden="1" x14ac:dyDescent="0.35">
      <c r="B67" s="23" t="s">
        <v>250</v>
      </c>
      <c r="C67" s="23" t="str">
        <f>IF(H2&lt;17,"beide",F1)</f>
        <v>beide</v>
      </c>
      <c r="D67" s="50"/>
      <c r="E67" s="50"/>
      <c r="F67" s="50"/>
      <c r="G67" s="50"/>
    </row>
    <row r="68" spans="2:7" s="23" customFormat="1" hidden="1" x14ac:dyDescent="0.35">
      <c r="B68" s="23" t="s">
        <v>17</v>
      </c>
      <c r="C68" s="23" t="str">
        <f>"TV_"&amp;C67&amp;"_"&amp;C55</f>
        <v>TV_beide_14_15</v>
      </c>
      <c r="D68" s="50"/>
      <c r="E68" s="50"/>
      <c r="F68" s="50"/>
      <c r="G68" s="50"/>
    </row>
    <row r="69" spans="2:7" x14ac:dyDescent="0.35"/>
    <row r="70" spans="2:7" x14ac:dyDescent="0.35"/>
  </sheetData>
  <sheetProtection algorithmName="SHA-512" hashValue="/z/jKQ8L2lWnNdANk86zTuX2ap7xO8leWyXPKP5j8V1P4XjtkM/9bIL6MaOzbGWopJbjNnS+KJI49K7h9UkVrA==" saltValue="3msCclr7r44cDCTp8MrEzw==" spinCount="100000" sheet="1" objects="1" scenarios="1" selectLockedCells="1"/>
  <protectedRanges>
    <protectedRange sqref="H1:H2 F1:F2 B1:B2" name="Athletendaten"/>
    <protectedRange sqref="F38:F49 C20:F35 D69:E440 C69:C441 F4:F8 C38:E68 C11:E16 F11:F17" name="Werte und Varianten"/>
    <protectedRange algorithmName="SHA-512" hashValue="EtPG7jm6pk6JVG08ToKZL4Sto4PS6TOUsygvFmj6DTfcGnX6DwKdfjTEg/2X1Hwnu/CwfNhBUSnXKs/oLqcupQ==" saltValue="sPse4fdTsI5OFESYvRIl8Q==" spinCount="100000" sqref="H4:H8 H38:H49 H20:H35 H11:H17" name="Punktzahlen"/>
  </protectedRanges>
  <mergeCells count="44">
    <mergeCell ref="A50:G50"/>
    <mergeCell ref="A51:G51"/>
    <mergeCell ref="A44:D44"/>
    <mergeCell ref="A45:D45"/>
    <mergeCell ref="A46:D46"/>
    <mergeCell ref="A47:D47"/>
    <mergeCell ref="A48:D48"/>
    <mergeCell ref="A49:D49"/>
    <mergeCell ref="A43:D43"/>
    <mergeCell ref="A32:B32"/>
    <mergeCell ref="A33:B33"/>
    <mergeCell ref="A34:B34"/>
    <mergeCell ref="A35:B35"/>
    <mergeCell ref="A36:G36"/>
    <mergeCell ref="A37:D37"/>
    <mergeCell ref="A38:D38"/>
    <mergeCell ref="A39:D39"/>
    <mergeCell ref="A40:D40"/>
    <mergeCell ref="A41:D41"/>
    <mergeCell ref="A42:D42"/>
    <mergeCell ref="A31:B31"/>
    <mergeCell ref="A13:E13"/>
    <mergeCell ref="A14:E14"/>
    <mergeCell ref="A15:E15"/>
    <mergeCell ref="A16:E16"/>
    <mergeCell ref="A18:G18"/>
    <mergeCell ref="A19:C19"/>
    <mergeCell ref="A20:B20"/>
    <mergeCell ref="A21:B21"/>
    <mergeCell ref="A22:B22"/>
    <mergeCell ref="A23:B23"/>
    <mergeCell ref="A30:B30"/>
    <mergeCell ref="A12:E12"/>
    <mergeCell ref="B1:E1"/>
    <mergeCell ref="B2:F2"/>
    <mergeCell ref="A3:E3"/>
    <mergeCell ref="A4:E4"/>
    <mergeCell ref="A5:E5"/>
    <mergeCell ref="A6:E6"/>
    <mergeCell ref="A7:E7"/>
    <mergeCell ref="A8:E8"/>
    <mergeCell ref="A9:G9"/>
    <mergeCell ref="A10:E10"/>
    <mergeCell ref="A11:E11"/>
  </mergeCells>
  <conditionalFormatting sqref="F46:F49">
    <cfRule type="expression" dxfId="239" priority="3">
      <formula>$A46=" "</formula>
    </cfRule>
  </conditionalFormatting>
  <conditionalFormatting sqref="B24:B29 C21:E29">
    <cfRule type="expression" dxfId="238" priority="2">
      <formula>$A21="entfällt"</formula>
    </cfRule>
    <cfRule type="expression" dxfId="237" priority="4">
      <formula>$H$2&gt;14</formula>
    </cfRule>
  </conditionalFormatting>
  <conditionalFormatting sqref="B24:B29">
    <cfRule type="expression" dxfId="236" priority="1">
      <formula>AND($A24="TN",$C24&lt;&gt;"")</formula>
    </cfRule>
  </conditionalFormatting>
  <dataValidations count="19">
    <dataValidation type="decimal" errorStyle="warning" allowBlank="1" showInputMessage="1" showErrorMessage="1" error="Eingegebener Abzug überschreitet maximal zulässigen Abzug, Wert bitte überprüfen!" sqref="F21:F35" xr:uid="{7DB97EA0-28ED-4A41-B2CB-F8FDE67AD839}">
      <formula1>0</formula1>
      <formula2>$E21</formula2>
    </dataValidation>
    <dataValidation type="list" allowBlank="1" showInputMessage="1" showErrorMessage="1" sqref="C20" xr:uid="{939FFD50-5139-4781-95F5-965AC09B9608}">
      <formula1>"Lichtschranke,Druckmessplatte"</formula1>
    </dataValidation>
    <dataValidation type="whole" allowBlank="1" showInputMessage="1" showErrorMessage="1" errorTitle="Falsche Eingabe" error="Bitte Wert prüfen" sqref="D17" xr:uid="{B6CFFD37-2D90-4309-A290-BAC470D1E584}">
      <formula1>1</formula1>
      <formula2>13</formula2>
    </dataValidation>
    <dataValidation type="list" allowBlank="1" showInputMessage="1" sqref="C24:C29" xr:uid="{73A702DD-3FFF-4FC1-BBA0-820617F71A3E}">
      <formula1>INDIRECT($C$61)</formula1>
    </dataValidation>
    <dataValidation type="list" allowBlank="1" showInputMessage="1" sqref="C21:C23" xr:uid="{FE018197-2534-4FC8-B73B-640C2CA3809A}">
      <formula1>INDIRECT($C$58)</formula1>
    </dataValidation>
    <dataValidation allowBlank="1" showInputMessage="1" showErrorMessage="1" prompt="Anzahl der Wiederholungen" sqref="F11" xr:uid="{7B60F187-3524-468D-85BD-809BF415399E}"/>
    <dataValidation type="whole" allowBlank="1" showInputMessage="1" showErrorMessage="1" prompt="Abstand von der Oberkante des Turnhockers zur schlechtesten Fingerspitze in cm" sqref="F6" xr:uid="{4844FA58-3F5D-4866-B492-399F6F9ACDC7}">
      <formula1>-50</formula1>
      <formula2>50</formula2>
    </dataValidation>
    <dataValidation type="list" allowBlank="1" showInputMessage="1" showErrorMessage="1" prompt="Punktzahl nach Vergleich mit Bild" sqref="F5" xr:uid="{832DE7DC-7A2B-4003-9295-A355BED20402}">
      <formula1>"0,2,6,10"</formula1>
    </dataValidation>
    <dataValidation type="whole" allowBlank="1" showErrorMessage="1" errorTitle="Falsche Eingabe" error="Bitte Wert prüfen" prompt="Höchste erreichte Stufe" sqref="F17" xr:uid="{B05FF6FD-1AB7-4A57-8ED4-10969F85318A}">
      <formula1>1</formula1>
      <formula2>11</formula2>
    </dataValidation>
    <dataValidation allowBlank="1" sqref="D20:E20" xr:uid="{9027288F-BADA-4E8E-84DB-B022EECA5370}"/>
    <dataValidation type="decimal" errorStyle="warning" allowBlank="1" showInputMessage="1" showErrorMessage="1" error="Abzug höher als Wert des Elements, bitte überprüfen!" prompt="Abzug" sqref="F38:F49" xr:uid="{E0CBF1B6-7AF9-4489-B4E7-FD100BA7921C}">
      <formula1>0</formula1>
      <formula2>$E38</formula2>
    </dataValidation>
    <dataValidation type="whole" allowBlank="1" showInputMessage="1" showErrorMessage="1" prompt="AKs 9 - 13: Übersprungene Kästchen_x000a__x000a_AKs 14 - 21: Anzahl Saltos" sqref="F15" xr:uid="{C3D0E61E-CD62-417E-ABEC-92BFDEB2BC26}">
      <formula1>0</formula1>
      <formula2>50</formula2>
    </dataValidation>
    <dataValidation type="list" allowBlank="1" showInputMessage="1" showErrorMessage="1" sqref="F1" xr:uid="{AD97566B-1811-47E4-A688-20C6421774A9}">
      <formula1>"männlich,weiblich"</formula1>
    </dataValidation>
    <dataValidation type="whole" allowBlank="1" showInputMessage="1" showErrorMessage="1" sqref="H4:H8" xr:uid="{1F95EF20-7D67-46C7-A2AF-B98A3D5989EF}">
      <formula1>0</formula1>
      <formula2>10</formula2>
    </dataValidation>
    <dataValidation type="whole" allowBlank="1" showInputMessage="1" showErrorMessage="1" prompt="Haltezeit in Sekunden" sqref="F13" xr:uid="{D82F4402-FD34-46CF-94E0-3480759E03EB}">
      <formula1>0</formula1>
      <formula2>200</formula2>
    </dataValidation>
    <dataValidation type="whole" allowBlank="1" showInputMessage="1" showErrorMessage="1" prompt="Haltezeit in Sekunden" sqref="F16" xr:uid="{9D6BF27D-5DE4-48F6-94D6-6AAB7811C1F4}">
      <formula1>0</formula1>
      <formula2>100</formula2>
    </dataValidation>
    <dataValidation type="whole" allowBlank="1" showInputMessage="1" showErrorMessage="1" prompt="Anzahl der Wiederholungen" sqref="F14 F12" xr:uid="{A0F2366A-D788-49C1-AFBD-9E7572D50E73}">
      <formula1>0</formula1>
      <formula2>50</formula2>
    </dataValidation>
    <dataValidation type="list" operator="equal" allowBlank="1" showInputMessage="1" showErrorMessage="1" prompt="Punktzahl nach Vergleich mit Bild" sqref="F4" xr:uid="{9C634E0D-FD0F-45EE-AD73-C5AF2599CB2D}">
      <formula1>"0,2,6,10"</formula1>
    </dataValidation>
    <dataValidation type="decimal" errorStyle="warning" showDropDown="1" showErrorMessage="1" error="Wert unrealistisch hoch, bitte Eingabe überprüfen" promptTitle="Vorsicht" sqref="F20" xr:uid="{0F8393F9-8E69-44B8-9B49-940E4F597154}">
      <formula1>0</formula1>
      <formula2>30</formula2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Bitte Werte aus Dropdown auswählen" prompt="Abstand vom Boden laut Schablone" xr:uid="{ADD5D580-D17F-4385-9B57-5AAE0F032D25}">
          <x14:formula1>
            <xm:f>Punktetabellen!$A$3:$A$6</xm:f>
          </x14:formula1>
          <xm:sqref>F7:F8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6E2C6-EACB-432F-BEE5-5573C6C7DE95}">
  <sheetPr codeName="Tabelle25">
    <tabColor indexed="47"/>
    <pageSetUpPr fitToPage="1"/>
  </sheetPr>
  <dimension ref="A1:J70"/>
  <sheetViews>
    <sheetView zoomScale="85" zoomScaleNormal="85" workbookViewId="0">
      <pane ySplit="2" topLeftCell="A3" activePane="bottomLeft" state="frozen"/>
      <selection sqref="A1:H1"/>
      <selection pane="bottomLeft" activeCell="E21" sqref="E21:E27"/>
    </sheetView>
  </sheetViews>
  <sheetFormatPr baseColWidth="10" defaultColWidth="0" defaultRowHeight="14.5" zeroHeight="1" outlineLevelRow="1" x14ac:dyDescent="0.35"/>
  <cols>
    <col min="1" max="1" width="11.453125" customWidth="1"/>
    <col min="2" max="2" width="12.1796875" customWidth="1"/>
    <col min="3" max="3" width="44.81640625" bestFit="1" customWidth="1"/>
    <col min="4" max="5" width="11.453125" style="148" customWidth="1"/>
    <col min="6" max="6" width="16.1796875" style="148" bestFit="1" customWidth="1"/>
    <col min="7" max="7" width="13.81640625" style="148" customWidth="1"/>
    <col min="8" max="8" width="11.453125" customWidth="1"/>
    <col min="9" max="9" width="6.1796875" style="23" hidden="1" customWidth="1"/>
    <col min="10" max="10" width="0" hidden="1" customWidth="1"/>
    <col min="11" max="16384" width="11.453125" hidden="1"/>
  </cols>
  <sheetData>
    <row r="1" spans="1:8" ht="15.5" x14ac:dyDescent="0.35">
      <c r="A1" s="16" t="s">
        <v>1</v>
      </c>
      <c r="B1" s="186" t="s">
        <v>375</v>
      </c>
      <c r="C1" s="187"/>
      <c r="D1" s="187"/>
      <c r="E1" s="188"/>
      <c r="F1" s="51" t="s">
        <v>97</v>
      </c>
      <c r="G1" s="61" t="s">
        <v>24</v>
      </c>
      <c r="H1" s="63">
        <v>2005</v>
      </c>
    </row>
    <row r="2" spans="1:8" ht="16" thickBot="1" x14ac:dyDescent="0.4">
      <c r="A2" s="17" t="s">
        <v>4</v>
      </c>
      <c r="B2" s="198" t="s">
        <v>376</v>
      </c>
      <c r="C2" s="199"/>
      <c r="D2" s="199"/>
      <c r="E2" s="199"/>
      <c r="F2" s="200"/>
      <c r="G2" s="62" t="s">
        <v>3</v>
      </c>
      <c r="H2" s="64">
        <f>2022-H1</f>
        <v>17</v>
      </c>
    </row>
    <row r="3" spans="1:8" ht="15" outlineLevel="1" thickBot="1" x14ac:dyDescent="0.4">
      <c r="A3" s="189" t="s">
        <v>26</v>
      </c>
      <c r="B3" s="190"/>
      <c r="C3" s="190"/>
      <c r="D3" s="190"/>
      <c r="E3" s="191"/>
      <c r="F3" s="46" t="s">
        <v>27</v>
      </c>
      <c r="G3" s="47" t="s">
        <v>28</v>
      </c>
      <c r="H3" s="22" t="s">
        <v>234</v>
      </c>
    </row>
    <row r="4" spans="1:8" outlineLevel="1" x14ac:dyDescent="0.35">
      <c r="A4" s="192" t="s">
        <v>30</v>
      </c>
      <c r="B4" s="193"/>
      <c r="C4" s="193"/>
      <c r="D4" s="193"/>
      <c r="E4" s="194"/>
      <c r="F4" s="25">
        <v>10</v>
      </c>
      <c r="G4" s="55" t="s">
        <v>32</v>
      </c>
      <c r="H4" s="34">
        <f>F4</f>
        <v>10</v>
      </c>
    </row>
    <row r="5" spans="1:8" outlineLevel="1" x14ac:dyDescent="0.35">
      <c r="A5" s="195" t="s">
        <v>85</v>
      </c>
      <c r="B5" s="196"/>
      <c r="C5" s="196"/>
      <c r="D5" s="196"/>
      <c r="E5" s="197"/>
      <c r="F5" s="14">
        <v>10</v>
      </c>
      <c r="G5" s="56" t="s">
        <v>32</v>
      </c>
      <c r="H5" s="35">
        <f>F5</f>
        <v>10</v>
      </c>
    </row>
    <row r="6" spans="1:8" outlineLevel="1" x14ac:dyDescent="0.35">
      <c r="A6" s="195" t="s">
        <v>33</v>
      </c>
      <c r="B6" s="196"/>
      <c r="C6" s="196"/>
      <c r="D6" s="196"/>
      <c r="E6" s="197"/>
      <c r="F6" s="14">
        <v>20</v>
      </c>
      <c r="G6" s="56" t="s">
        <v>31</v>
      </c>
      <c r="H6" s="35">
        <f>IF(F6="",0,VLOOKUP(F6,Punktetabellen!A10:B15,2,1))</f>
        <v>10</v>
      </c>
    </row>
    <row r="7" spans="1:8" outlineLevel="1" x14ac:dyDescent="0.35">
      <c r="A7" s="195" t="s">
        <v>34</v>
      </c>
      <c r="B7" s="196"/>
      <c r="C7" s="196"/>
      <c r="D7" s="196"/>
      <c r="E7" s="197"/>
      <c r="F7" s="14">
        <v>0</v>
      </c>
      <c r="G7" s="56" t="s">
        <v>31</v>
      </c>
      <c r="H7" s="35">
        <f>IF(F7="",0,VLOOKUP(F7,Punktetabellen!A3:B6,2,0))</f>
        <v>5</v>
      </c>
    </row>
    <row r="8" spans="1:8" ht="15" outlineLevel="1" thickBot="1" x14ac:dyDescent="0.4">
      <c r="A8" s="204" t="s">
        <v>35</v>
      </c>
      <c r="B8" s="205"/>
      <c r="C8" s="205"/>
      <c r="D8" s="205"/>
      <c r="E8" s="206"/>
      <c r="F8" s="41">
        <v>0</v>
      </c>
      <c r="G8" s="57" t="s">
        <v>31</v>
      </c>
      <c r="H8" s="36">
        <f>IF(F8="",0,VLOOKUP(F8,Punktetabellen!A3:B6,2,0))</f>
        <v>5</v>
      </c>
    </row>
    <row r="9" spans="1:8" ht="15" thickBot="1" x14ac:dyDescent="0.4">
      <c r="A9" s="210" t="s">
        <v>36</v>
      </c>
      <c r="B9" s="211"/>
      <c r="C9" s="211"/>
      <c r="D9" s="211"/>
      <c r="E9" s="211"/>
      <c r="F9" s="211"/>
      <c r="G9" s="211"/>
      <c r="H9" s="48">
        <f>SUM(H4:H8)</f>
        <v>40</v>
      </c>
    </row>
    <row r="10" spans="1:8" ht="15" outlineLevel="1" thickBot="1" x14ac:dyDescent="0.4">
      <c r="A10" s="189" t="s">
        <v>26</v>
      </c>
      <c r="B10" s="190"/>
      <c r="C10" s="190"/>
      <c r="D10" s="190"/>
      <c r="E10" s="191"/>
      <c r="F10" s="46" t="s">
        <v>27</v>
      </c>
      <c r="G10" s="47" t="s">
        <v>28</v>
      </c>
      <c r="H10" s="22" t="s">
        <v>234</v>
      </c>
    </row>
    <row r="11" spans="1:8" outlineLevel="1" x14ac:dyDescent="0.35">
      <c r="A11" s="207" t="s">
        <v>37</v>
      </c>
      <c r="B11" s="208"/>
      <c r="C11" s="208"/>
      <c r="D11" s="208"/>
      <c r="E11" s="209"/>
      <c r="F11" s="26">
        <v>0</v>
      </c>
      <c r="G11" s="58" t="s">
        <v>31</v>
      </c>
      <c r="H11" s="37">
        <f>IF($F11="",0,VLOOKUP($F11,Pkte_Klimmzug[],$H$2,1))</f>
        <v>0</v>
      </c>
    </row>
    <row r="12" spans="1:8" outlineLevel="1" x14ac:dyDescent="0.35">
      <c r="A12" s="201" t="s">
        <v>38</v>
      </c>
      <c r="B12" s="202"/>
      <c r="C12" s="202"/>
      <c r="D12" s="202"/>
      <c r="E12" s="203"/>
      <c r="F12" s="27">
        <v>8</v>
      </c>
      <c r="G12" s="59" t="s">
        <v>31</v>
      </c>
      <c r="H12" s="38">
        <f>IF($F12="",0,VLOOKUP($F12,Pkte_Beinheben[],$H$2,1))</f>
        <v>6</v>
      </c>
    </row>
    <row r="13" spans="1:8" outlineLevel="1" x14ac:dyDescent="0.35">
      <c r="A13" s="201" t="s">
        <v>88</v>
      </c>
      <c r="B13" s="202"/>
      <c r="C13" s="202"/>
      <c r="D13" s="202"/>
      <c r="E13" s="203"/>
      <c r="F13" s="27">
        <v>70</v>
      </c>
      <c r="G13" s="59" t="s">
        <v>31</v>
      </c>
      <c r="H13" s="38">
        <f>IF($F13="",0,VLOOKUP($F13,Pkte_Flieger[],$H$2,1))</f>
        <v>2</v>
      </c>
    </row>
    <row r="14" spans="1:8" outlineLevel="1" x14ac:dyDescent="0.35">
      <c r="A14" s="201" t="s">
        <v>39</v>
      </c>
      <c r="B14" s="202"/>
      <c r="C14" s="202"/>
      <c r="D14" s="202"/>
      <c r="E14" s="203"/>
      <c r="F14" s="27">
        <v>29</v>
      </c>
      <c r="G14" s="59" t="s">
        <v>31</v>
      </c>
      <c r="H14" s="38">
        <f>IF($F14="",0,VLOOKUP($F14,Pkte_Rollenverbindung[],$H$2,1))</f>
        <v>10</v>
      </c>
    </row>
    <row r="15" spans="1:8" outlineLevel="1" x14ac:dyDescent="0.35">
      <c r="A15" s="201" t="s">
        <v>89</v>
      </c>
      <c r="B15" s="202"/>
      <c r="C15" s="202"/>
      <c r="D15" s="202"/>
      <c r="E15" s="203"/>
      <c r="F15" s="27">
        <v>8</v>
      </c>
      <c r="G15" s="59" t="s">
        <v>31</v>
      </c>
      <c r="H15" s="38">
        <f>IF($F15="",0,VLOOKUP($F15,Pkte_Prellsprung[],$H$2,1))</f>
        <v>8</v>
      </c>
    </row>
    <row r="16" spans="1:8" outlineLevel="1" x14ac:dyDescent="0.35">
      <c r="A16" s="201" t="s">
        <v>90</v>
      </c>
      <c r="B16" s="202"/>
      <c r="C16" s="202"/>
      <c r="D16" s="202"/>
      <c r="E16" s="203"/>
      <c r="F16" s="28">
        <v>30</v>
      </c>
      <c r="G16" s="59" t="s">
        <v>31</v>
      </c>
      <c r="H16" s="38">
        <f>IF($F16="",0,VLOOKUP($F16,Pkte_Handstand[],$H$2,1))</f>
        <v>10</v>
      </c>
    </row>
    <row r="17" spans="1:8" ht="15" outlineLevel="1" thickBot="1" x14ac:dyDescent="0.4">
      <c r="A17" s="112" t="s">
        <v>93</v>
      </c>
      <c r="B17" s="113"/>
      <c r="C17" s="114" t="s">
        <v>269</v>
      </c>
      <c r="D17" s="29">
        <v>8</v>
      </c>
      <c r="E17" s="115" t="s">
        <v>270</v>
      </c>
      <c r="F17" s="29">
        <v>5</v>
      </c>
      <c r="G17" s="60" t="s">
        <v>31</v>
      </c>
      <c r="H17" s="39">
        <f>IF($F17="",0,IF($F$1="weiblich",VLOOKUP((100*$D17+$F17),Pkte_Shuttle_W[],$H$2,1),VLOOKUP((100*$D17+$F17),Pkte_Shuttle_M[],$H$2,1)))</f>
        <v>5</v>
      </c>
    </row>
    <row r="18" spans="1:8" ht="15" thickBot="1" x14ac:dyDescent="0.4">
      <c r="A18" s="161" t="s">
        <v>40</v>
      </c>
      <c r="B18" s="162"/>
      <c r="C18" s="162"/>
      <c r="D18" s="162"/>
      <c r="E18" s="162"/>
      <c r="F18" s="162"/>
      <c r="G18" s="162"/>
      <c r="H18" s="48">
        <f>SUM(H12:H17)</f>
        <v>41</v>
      </c>
    </row>
    <row r="19" spans="1:8" ht="15" outlineLevel="1" thickBot="1" x14ac:dyDescent="0.4">
      <c r="A19" s="159" t="s">
        <v>26</v>
      </c>
      <c r="B19" s="160"/>
      <c r="C19" s="160"/>
      <c r="D19" s="85" t="s">
        <v>235</v>
      </c>
      <c r="E19" s="85" t="s">
        <v>238</v>
      </c>
      <c r="F19" s="85" t="s">
        <v>236</v>
      </c>
      <c r="G19" s="86" t="s">
        <v>28</v>
      </c>
      <c r="H19" s="49" t="s">
        <v>234</v>
      </c>
    </row>
    <row r="20" spans="1:8" outlineLevel="1" x14ac:dyDescent="0.35">
      <c r="A20" s="167" t="s">
        <v>148</v>
      </c>
      <c r="B20" s="168"/>
      <c r="C20" s="116" t="str">
        <f>Infos!A10</f>
        <v>Druckmessplatte</v>
      </c>
      <c r="D20" s="90">
        <f>IF(F1="männlich",VLOOKUP(H2,Standsprünge!A3:C15,3,0),VLOOKUP(H2,Standsprünge!A3:B15,2,0))+IF(C20="Druckmessplatte",0)</f>
        <v>16</v>
      </c>
      <c r="E20" s="90"/>
      <c r="F20" s="67">
        <v>16.43</v>
      </c>
      <c r="G20" s="91" t="s">
        <v>149</v>
      </c>
      <c r="H20" s="88">
        <f>IF(F20="",0,(F20-D20)*10)</f>
        <v>4.2999999999999972</v>
      </c>
    </row>
    <row r="21" spans="1:8" outlineLevel="1" x14ac:dyDescent="0.35">
      <c r="A21" s="165" t="str">
        <f>IF(H2&gt;15,"entfällt","TBN")</f>
        <v>entfällt</v>
      </c>
      <c r="B21" s="166"/>
      <c r="C21" s="77"/>
      <c r="D21" s="78" t="str">
        <f ca="1">IF(C21="","",VLOOKUP(C21,INDIRECT($C$57),2,0))</f>
        <v/>
      </c>
      <c r="E21" s="78" t="str">
        <f ca="1">IF(C21="","",VLOOKUP(C21,INDIRECT($C$57),3,0))</f>
        <v/>
      </c>
      <c r="F21" s="42"/>
      <c r="G21" s="71" t="str">
        <f>IF(H2&gt;16,"entfällt","Wert - Abzug")</f>
        <v>entfällt</v>
      </c>
      <c r="H21" s="66">
        <f>IF(A21="entfällt",0,IF(F21="",0,D21-F21))</f>
        <v>0</v>
      </c>
    </row>
    <row r="22" spans="1:8" outlineLevel="1" x14ac:dyDescent="0.35">
      <c r="A22" s="165" t="str">
        <f>IF(H2&gt;15,"entfällt","TBN")</f>
        <v>entfällt</v>
      </c>
      <c r="B22" s="166"/>
      <c r="C22" s="77"/>
      <c r="D22" s="78" t="str">
        <f ca="1">IF(C22="","",VLOOKUP(C22,INDIRECT($C$57),2,0))</f>
        <v/>
      </c>
      <c r="E22" s="78" t="str">
        <f ca="1">IF(C22="","",VLOOKUP(C22,INDIRECT($C$57),3,0))</f>
        <v/>
      </c>
      <c r="F22" s="42"/>
      <c r="G22" s="71" t="str">
        <f>IF(H2&gt;16,"entfällt","Wert - Abzug")</f>
        <v>entfällt</v>
      </c>
      <c r="H22" s="66">
        <f t="shared" ref="H22:H28" si="0">IF(A22="entfällt",0,IF(F22="",0,D22-F22))</f>
        <v>0</v>
      </c>
    </row>
    <row r="23" spans="1:8" outlineLevel="1" x14ac:dyDescent="0.35">
      <c r="A23" s="165" t="str">
        <f>IF(H2&gt;11,"entfällt","TBN")</f>
        <v>entfällt</v>
      </c>
      <c r="B23" s="166"/>
      <c r="C23" s="77"/>
      <c r="D23" s="78" t="str">
        <f ca="1">IF(C23="","",VLOOKUP(C23,INDIRECT($C$57),2,0))</f>
        <v/>
      </c>
      <c r="E23" s="78" t="str">
        <f ca="1">IF(C23="","",VLOOKUP(C23,INDIRECT($C$57),3,0))</f>
        <v/>
      </c>
      <c r="F23" s="42"/>
      <c r="G23" s="71" t="str">
        <f>IF(H2&gt;16,"entfällt","Wert - Abzug")</f>
        <v>entfällt</v>
      </c>
      <c r="H23" s="66">
        <f t="shared" si="0"/>
        <v>0</v>
      </c>
    </row>
    <row r="24" spans="1:8" outlineLevel="1" x14ac:dyDescent="0.35">
      <c r="A24" s="110" t="s">
        <v>147</v>
      </c>
      <c r="B24" s="111"/>
      <c r="C24" s="77" t="s">
        <v>185</v>
      </c>
      <c r="D24" s="78">
        <v>15</v>
      </c>
      <c r="E24" s="78">
        <v>6</v>
      </c>
      <c r="F24" s="42">
        <v>0</v>
      </c>
      <c r="G24" s="71" t="s">
        <v>146</v>
      </c>
      <c r="H24" s="66">
        <f t="shared" si="0"/>
        <v>15</v>
      </c>
    </row>
    <row r="25" spans="1:8" outlineLevel="1" x14ac:dyDescent="0.35">
      <c r="A25" s="110" t="s">
        <v>147</v>
      </c>
      <c r="B25" s="111"/>
      <c r="C25" s="77" t="s">
        <v>189</v>
      </c>
      <c r="D25" s="78">
        <v>14</v>
      </c>
      <c r="E25" s="78">
        <v>6</v>
      </c>
      <c r="F25" s="42">
        <v>2</v>
      </c>
      <c r="G25" s="71" t="s">
        <v>146</v>
      </c>
      <c r="H25" s="66">
        <f t="shared" si="0"/>
        <v>12</v>
      </c>
    </row>
    <row r="26" spans="1:8" outlineLevel="1" x14ac:dyDescent="0.35">
      <c r="A26" s="110" t="s">
        <v>147</v>
      </c>
      <c r="B26" s="111"/>
      <c r="C26" s="77" t="s">
        <v>192</v>
      </c>
      <c r="D26" s="78">
        <v>12</v>
      </c>
      <c r="E26" s="78">
        <v>6</v>
      </c>
      <c r="F26" s="42">
        <v>4</v>
      </c>
      <c r="G26" s="71" t="s">
        <v>146</v>
      </c>
      <c r="H26" s="66">
        <f t="shared" si="0"/>
        <v>8</v>
      </c>
    </row>
    <row r="27" spans="1:8" outlineLevel="1" x14ac:dyDescent="0.35">
      <c r="A27" s="110" t="str">
        <f>IF(H2&gt;11,"TN","entfällt")</f>
        <v>TN</v>
      </c>
      <c r="B27" s="111"/>
      <c r="C27" s="77" t="s">
        <v>191</v>
      </c>
      <c r="D27" s="78">
        <v>14</v>
      </c>
      <c r="E27" s="78">
        <v>6</v>
      </c>
      <c r="F27" s="42">
        <v>4</v>
      </c>
      <c r="G27" s="71" t="str">
        <f>IF(H2&gt;12,"Wert - Abzug","entfällt")</f>
        <v>Wert - Abzug</v>
      </c>
      <c r="H27" s="66">
        <f t="shared" si="0"/>
        <v>10</v>
      </c>
    </row>
    <row r="28" spans="1:8" outlineLevel="1" x14ac:dyDescent="0.35">
      <c r="A28" s="110" t="str">
        <f>IF(H2&gt;15,"TN","entfällt")</f>
        <v>TN</v>
      </c>
      <c r="B28" s="111"/>
      <c r="C28" s="77" t="s">
        <v>254</v>
      </c>
      <c r="D28" s="78">
        <v>13</v>
      </c>
      <c r="E28" s="78">
        <v>6</v>
      </c>
      <c r="F28" s="42">
        <v>2</v>
      </c>
      <c r="G28" s="71" t="str">
        <f>IF(H2&gt;16,"Wert - Abzug","entfällt")</f>
        <v>Wert - Abzug</v>
      </c>
      <c r="H28" s="66">
        <f t="shared" si="0"/>
        <v>11</v>
      </c>
    </row>
    <row r="29" spans="1:8" outlineLevel="1" x14ac:dyDescent="0.35">
      <c r="A29" s="110" t="str">
        <f>IF(H2&gt;15,"TN","entfällt")</f>
        <v>TN</v>
      </c>
      <c r="B29" s="111"/>
      <c r="C29" s="77" t="s">
        <v>193</v>
      </c>
      <c r="D29" s="78">
        <v>17</v>
      </c>
      <c r="E29" s="78">
        <v>6</v>
      </c>
      <c r="F29" s="42">
        <v>4</v>
      </c>
      <c r="G29" s="71" t="str">
        <f>IF(H2&gt;16,"Wert - Abzug","entfällt")</f>
        <v>Wert - Abzug</v>
      </c>
      <c r="H29" s="66">
        <f>IF(A29="entfällt",0,IF(F29="",0,D29-F29))</f>
        <v>13</v>
      </c>
    </row>
    <row r="30" spans="1:8" outlineLevel="1" x14ac:dyDescent="0.35">
      <c r="A30" s="165" t="str">
        <f>IF($H$2&gt;10,"Verbindung Sprung 1","entfällt")</f>
        <v>Verbindung Sprung 1</v>
      </c>
      <c r="B30" s="166"/>
      <c r="C30" s="40" t="str">
        <f ca="1">IF(A30&lt;&gt;"entfällt",VLOOKUP(1,INDIRECT($C$68),2,0),"")</f>
        <v>803&lt;</v>
      </c>
      <c r="D30" s="40">
        <f ca="1">IF(A30&lt;&gt;"entfällt",VLOOKUP(1,INDIRECT($C$68),3,0),"")</f>
        <v>15</v>
      </c>
      <c r="E30" s="40">
        <f ca="1">IF(A30&lt;&gt;"entfällt",VLOOKUP(1,INDIRECT($C$68),4,0),"")</f>
        <v>3</v>
      </c>
      <c r="F30" s="42">
        <v>2</v>
      </c>
      <c r="G30" s="71" t="str">
        <f>IF(H2&gt;12,"Wert - Abzug","entfällt")</f>
        <v>Wert - Abzug</v>
      </c>
      <c r="H30" s="66"/>
    </row>
    <row r="31" spans="1:8" outlineLevel="1" x14ac:dyDescent="0.35">
      <c r="A31" s="165" t="str">
        <f>IF($H$2&gt;10,"Verbindung Sprung 2","entfällt")</f>
        <v>Verbindung Sprung 2</v>
      </c>
      <c r="B31" s="166"/>
      <c r="C31" s="40" t="str">
        <f ca="1">IF(A31&lt;&gt;"entfällt",VLOOKUP(2,INDIRECT($C$68),2,0),"")</f>
        <v>40&lt;</v>
      </c>
      <c r="D31" s="40">
        <f ca="1">IF(A31&lt;&gt;"entfällt",VLOOKUP(2,INDIRECT($C$68),3,0),"")</f>
        <v>6</v>
      </c>
      <c r="E31" s="40">
        <f ca="1">IF(A31&lt;&gt;"entfällt",VLOOKUP(2,INDIRECT($C$68),4,0),"")</f>
        <v>3</v>
      </c>
      <c r="F31" s="42">
        <v>3</v>
      </c>
      <c r="G31" s="71" t="str">
        <f>IF(H2&gt;12,"Wert - Abzug","entfällt")</f>
        <v>Wert - Abzug</v>
      </c>
      <c r="H31" s="66"/>
    </row>
    <row r="32" spans="1:8" outlineLevel="1" x14ac:dyDescent="0.35">
      <c r="A32" s="165" t="str">
        <f>IF($H$2&gt;10,"Verbindung Sprung 3","entfällt")</f>
        <v>Verbindung Sprung 3</v>
      </c>
      <c r="B32" s="166"/>
      <c r="C32" s="40" t="str">
        <f ca="1">IF(A32&lt;&gt;"entfällt",VLOOKUP(3,INDIRECT($C$68),2,0),"")</f>
        <v>801&lt;</v>
      </c>
      <c r="D32" s="40">
        <f ca="1">IF(A32&lt;&gt;"entfällt",VLOOKUP(3,INDIRECT($C$68),3,0),"")</f>
        <v>13</v>
      </c>
      <c r="E32" s="40">
        <f ca="1">IF(A32&lt;&gt;"entfällt",VLOOKUP(3,INDIRECT($C$68),4,0),"")</f>
        <v>3</v>
      </c>
      <c r="F32" s="42">
        <v>3</v>
      </c>
      <c r="G32" s="71" t="str">
        <f>IF(H2&gt;12,"Wert - Abzug","entfällt")</f>
        <v>Wert - Abzug</v>
      </c>
      <c r="H32" s="66"/>
    </row>
    <row r="33" spans="1:8" outlineLevel="1" x14ac:dyDescent="0.35">
      <c r="A33" s="165" t="str">
        <f>IF($H$2&gt;10,"Verbindung Sprung 4","entfällt")</f>
        <v>Verbindung Sprung 4</v>
      </c>
      <c r="B33" s="166"/>
      <c r="C33" s="40" t="str">
        <f ca="1">IF(A33&lt;&gt;"entfällt",VLOOKUP(4,INDIRECT($C$68),2,0),"")</f>
        <v>40/</v>
      </c>
      <c r="D33" s="40">
        <f ca="1">IF(A33&lt;&gt;"entfällt",VLOOKUP(4,INDIRECT($C$68),3,0),"")</f>
        <v>6</v>
      </c>
      <c r="E33" s="40">
        <f ca="1">IF(A33&lt;&gt;"entfällt",VLOOKUP(4,INDIRECT($C$68),4,0),"")</f>
        <v>3</v>
      </c>
      <c r="F33" s="42">
        <v>2</v>
      </c>
      <c r="G33" s="71" t="str">
        <f>IF(H2&gt;12,"Wert - Abzug","entfällt")</f>
        <v>Wert - Abzug</v>
      </c>
      <c r="H33" s="66"/>
    </row>
    <row r="34" spans="1:8" outlineLevel="1" x14ac:dyDescent="0.35">
      <c r="A34" s="165" t="str">
        <f>IF($H$2&gt;10,"Verbindung Sprung 5","entfällt")</f>
        <v>Verbindung Sprung 5</v>
      </c>
      <c r="B34" s="166"/>
      <c r="C34" s="40" t="str">
        <f ca="1">IF(A34&lt;&gt;"entfällt",VLOOKUP(5,INDIRECT($C$68),2,0),"")</f>
        <v>41/</v>
      </c>
      <c r="D34" s="40">
        <f ca="1">IF(A34&lt;&gt;"entfällt",VLOOKUP(5,INDIRECT($C$68),3,0),"")</f>
        <v>6</v>
      </c>
      <c r="E34" s="40">
        <f ca="1">IF(A34&lt;&gt;"entfällt",VLOOKUP(5,INDIRECT($C$68),4,0),"")</f>
        <v>3</v>
      </c>
      <c r="F34" s="42">
        <v>2</v>
      </c>
      <c r="G34" s="71" t="str">
        <f>IF(H2&gt;12,"Wert - Abzug","entfällt")</f>
        <v>Wert - Abzug</v>
      </c>
      <c r="H34" s="66"/>
    </row>
    <row r="35" spans="1:8" ht="15" outlineLevel="1" thickBot="1" x14ac:dyDescent="0.4">
      <c r="A35" s="171" t="str">
        <f>IF($H$2&gt;10,"Verbindung Sprung 6","entfällt")</f>
        <v>Verbindung Sprung 6</v>
      </c>
      <c r="B35" s="172"/>
      <c r="C35" s="68" t="str">
        <f ca="1">IF(A35&lt;&gt;"entfällt",VLOOKUP(6,INDIRECT($C$68),2,0),"")</f>
        <v>811°</v>
      </c>
      <c r="D35" s="68">
        <f ca="1">IF(A35&lt;&gt;"entfällt",VLOOKUP(6,INDIRECT($C$68),3,0),"")</f>
        <v>12</v>
      </c>
      <c r="E35" s="68">
        <f ca="1">IF(A35&lt;&gt;"entfällt",VLOOKUP(6,INDIRECT($C$68),4,0),"")</f>
        <v>3</v>
      </c>
      <c r="F35" s="69">
        <v>2</v>
      </c>
      <c r="G35" s="72" t="str">
        <f>IF(H2&gt;12,"Wert - Abzug","entfällt")</f>
        <v>Wert - Abzug</v>
      </c>
      <c r="H35" s="70">
        <f>30-F30-F31-F32-F33-F34-F35</f>
        <v>16</v>
      </c>
    </row>
    <row r="36" spans="1:8" ht="15" thickBot="1" x14ac:dyDescent="0.4">
      <c r="A36" s="173" t="s">
        <v>41</v>
      </c>
      <c r="B36" s="174"/>
      <c r="C36" s="174"/>
      <c r="D36" s="174"/>
      <c r="E36" s="174"/>
      <c r="F36" s="174"/>
      <c r="G36" s="175"/>
      <c r="H36" s="89">
        <f>SUM(H20:H35)</f>
        <v>89.3</v>
      </c>
    </row>
    <row r="37" spans="1:8" ht="15" outlineLevel="1" thickBot="1" x14ac:dyDescent="0.4">
      <c r="A37" s="181" t="s">
        <v>99</v>
      </c>
      <c r="B37" s="182"/>
      <c r="C37" s="182"/>
      <c r="D37" s="183"/>
      <c r="E37" s="85" t="s">
        <v>27</v>
      </c>
      <c r="F37" s="85" t="s">
        <v>237</v>
      </c>
      <c r="G37" s="86" t="s">
        <v>28</v>
      </c>
      <c r="H37" s="49" t="s">
        <v>234</v>
      </c>
    </row>
    <row r="38" spans="1:8" outlineLevel="1" x14ac:dyDescent="0.35">
      <c r="A38" s="179" t="str">
        <f ca="1">VLOOKUP(1,INDIRECT($C$65),2,0)</f>
        <v>Salto vorwärts gehockt aus dem Stand</v>
      </c>
      <c r="B38" s="180"/>
      <c r="C38" s="180"/>
      <c r="D38" s="180"/>
      <c r="E38" s="92">
        <f ca="1">VLOOKUP(1,INDIRECT($C$65),3,0)</f>
        <v>5</v>
      </c>
      <c r="F38" s="79"/>
      <c r="G38" s="80" t="s">
        <v>146</v>
      </c>
      <c r="H38" s="84">
        <f ca="1">IF(E38=" ","",IF(F38="",0,E38-F38))</f>
        <v>0</v>
      </c>
    </row>
    <row r="39" spans="1:8" outlineLevel="1" x14ac:dyDescent="0.35">
      <c r="A39" s="163" t="str">
        <f ca="1">VLOOKUP(2,INDIRECT($C$65),2,0)</f>
        <v>Vorspreizen, Bestellschritt, Strecksprung 3/2 Drehung</v>
      </c>
      <c r="B39" s="164"/>
      <c r="C39" s="164"/>
      <c r="D39" s="164"/>
      <c r="E39" s="87">
        <f ca="1">VLOOKUP(2,INDIRECT($C$65),3,0)</f>
        <v>3</v>
      </c>
      <c r="F39" s="43"/>
      <c r="G39" s="81" t="s">
        <v>146</v>
      </c>
      <c r="H39" s="84">
        <f t="shared" ref="H39:H49" ca="1" si="1">IF(E39=" ","",IF(F39="",0,E39-F39))</f>
        <v>0</v>
      </c>
    </row>
    <row r="40" spans="1:8" outlineLevel="1" x14ac:dyDescent="0.35">
      <c r="A40" s="163" t="str">
        <f ca="1">VLOOKUP(3,INDIRECT($C$65),2,0)</f>
        <v>Rolle rückwärts durch Handstand mit 1/2 Drehung</v>
      </c>
      <c r="B40" s="164"/>
      <c r="C40" s="164"/>
      <c r="D40" s="164"/>
      <c r="E40" s="87">
        <f ca="1">VLOOKUP(3,INDIRECT($C$65),3,0)</f>
        <v>4</v>
      </c>
      <c r="F40" s="43"/>
      <c r="G40" s="81" t="s">
        <v>146</v>
      </c>
      <c r="H40" s="84">
        <f t="shared" ca="1" si="1"/>
        <v>0</v>
      </c>
    </row>
    <row r="41" spans="1:8" outlineLevel="1" x14ac:dyDescent="0.35">
      <c r="A41" s="163" t="str">
        <f ca="1">VLOOKUP(4,INDIRECT($C$65),2,0)</f>
        <v>--&gt; Strecksprung --&gt; Salto vorwärts gehockt</v>
      </c>
      <c r="B41" s="164"/>
      <c r="C41" s="164"/>
      <c r="D41" s="164"/>
      <c r="E41" s="87">
        <f ca="1">VLOOKUP(4,INDIRECT($C$65),3,0)</f>
        <v>4</v>
      </c>
      <c r="F41" s="43"/>
      <c r="G41" s="81" t="s">
        <v>146</v>
      </c>
      <c r="H41" s="84">
        <f t="shared" ca="1" si="1"/>
        <v>0</v>
      </c>
    </row>
    <row r="42" spans="1:8" outlineLevel="1" x14ac:dyDescent="0.35">
      <c r="A42" s="163" t="str">
        <f ca="1">VLOOKUP(5,INDIRECT($C$65),2,0)</f>
        <v>Wiener, 1/2 Drehung, absenken zum Stand</v>
      </c>
      <c r="B42" s="164"/>
      <c r="C42" s="164"/>
      <c r="D42" s="164"/>
      <c r="E42" s="87">
        <f ca="1">VLOOKUP(5,INDIRECT($C$65),3,0)</f>
        <v>4</v>
      </c>
      <c r="F42" s="43"/>
      <c r="G42" s="81" t="s">
        <v>146</v>
      </c>
      <c r="H42" s="84">
        <f t="shared" ca="1" si="1"/>
        <v>0</v>
      </c>
    </row>
    <row r="43" spans="1:8" outlineLevel="1" x14ac:dyDescent="0.35">
      <c r="A43" s="163" t="str">
        <f ca="1">VLOOKUP(6,INDIRECT($C$65),2,0)</f>
        <v>Handstand mit zwei Hüpfern, abrollen</v>
      </c>
      <c r="B43" s="164"/>
      <c r="C43" s="164"/>
      <c r="D43" s="164"/>
      <c r="E43" s="87">
        <f ca="1">VLOOKUP(6,INDIRECT($C$65),3,0)</f>
        <v>2</v>
      </c>
      <c r="F43" s="43"/>
      <c r="G43" s="81" t="s">
        <v>146</v>
      </c>
      <c r="H43" s="84">
        <f t="shared" ca="1" si="1"/>
        <v>0</v>
      </c>
    </row>
    <row r="44" spans="1:8" outlineLevel="1" x14ac:dyDescent="0.35">
      <c r="A44" s="163" t="str">
        <f ca="1">VLOOKUP(7,INDIRECT($C$65),2,0)</f>
        <v>--&gt; aufstehen mit gestreckten Beinen</v>
      </c>
      <c r="B44" s="164"/>
      <c r="C44" s="164"/>
      <c r="D44" s="164"/>
      <c r="E44" s="87">
        <f ca="1">VLOOKUP(7,INDIRECT($C$65),3,0)</f>
        <v>3</v>
      </c>
      <c r="F44" s="43"/>
      <c r="G44" s="81" t="s">
        <v>146</v>
      </c>
      <c r="H44" s="84">
        <f t="shared" ca="1" si="1"/>
        <v>0</v>
      </c>
    </row>
    <row r="45" spans="1:8" outlineLevel="1" x14ac:dyDescent="0.35">
      <c r="A45" s="163" t="str">
        <f ca="1">VLOOKUP(8,INDIRECT($C$65),2,0)</f>
        <v>Salto rückwärts gebückt</v>
      </c>
      <c r="B45" s="164"/>
      <c r="C45" s="164"/>
      <c r="D45" s="164"/>
      <c r="E45" s="87">
        <f ca="1">VLOOKUP(8,INDIRECT($C$65),3,0)</f>
        <v>5</v>
      </c>
      <c r="F45" s="43"/>
      <c r="G45" s="81" t="s">
        <v>146</v>
      </c>
      <c r="H45" s="84">
        <f t="shared" ca="1" si="1"/>
        <v>0</v>
      </c>
    </row>
    <row r="46" spans="1:8" outlineLevel="1" x14ac:dyDescent="0.35">
      <c r="A46" s="163" t="str">
        <f ca="1">VLOOKUP(9,INDIRECT($C$65),2,0)</f>
        <v xml:space="preserve"> </v>
      </c>
      <c r="B46" s="164"/>
      <c r="C46" s="164"/>
      <c r="D46" s="164"/>
      <c r="E46" s="87" t="str">
        <f ca="1">VLOOKUP(9,INDIRECT($C$65),3,0)</f>
        <v xml:space="preserve"> </v>
      </c>
      <c r="F46" s="43"/>
      <c r="G46" s="81" t="str">
        <f>IF(H2&gt;16,"","Wert - Abzug")</f>
        <v/>
      </c>
      <c r="H46" s="84" t="str">
        <f t="shared" ca="1" si="1"/>
        <v/>
      </c>
    </row>
    <row r="47" spans="1:8" outlineLevel="1" x14ac:dyDescent="0.35">
      <c r="A47" s="163" t="str">
        <f ca="1">VLOOKUP(10,INDIRECT($C$65),2,0)</f>
        <v xml:space="preserve"> </v>
      </c>
      <c r="B47" s="164"/>
      <c r="C47" s="164"/>
      <c r="D47" s="164"/>
      <c r="E47" s="87" t="str">
        <f ca="1">VLOOKUP(10,INDIRECT($C$65),3,0)</f>
        <v xml:space="preserve"> </v>
      </c>
      <c r="F47" s="43"/>
      <c r="G47" s="81" t="str">
        <f>IF(H2&gt;16,"","Wert - Abzug")</f>
        <v/>
      </c>
      <c r="H47" s="84" t="str">
        <f t="shared" ca="1" si="1"/>
        <v/>
      </c>
    </row>
    <row r="48" spans="1:8" outlineLevel="1" x14ac:dyDescent="0.35">
      <c r="A48" s="163" t="str">
        <f ca="1">VLOOKUP(11,INDIRECT($C$65),2,0)</f>
        <v xml:space="preserve"> </v>
      </c>
      <c r="B48" s="164"/>
      <c r="C48" s="164"/>
      <c r="D48" s="164"/>
      <c r="E48" s="87" t="str">
        <f ca="1">VLOOKUP(11,INDIRECT($C$65),3,0)</f>
        <v xml:space="preserve"> </v>
      </c>
      <c r="F48" s="43"/>
      <c r="G48" s="81" t="str">
        <f>IF(H2&gt;13,"","Wert - Abzug")</f>
        <v/>
      </c>
      <c r="H48" s="84" t="str">
        <f t="shared" ca="1" si="1"/>
        <v/>
      </c>
    </row>
    <row r="49" spans="1:8" ht="15" outlineLevel="1" thickBot="1" x14ac:dyDescent="0.4">
      <c r="A49" s="184" t="str">
        <f ca="1">VLOOKUP(12,INDIRECT($C$65),2,0)</f>
        <v xml:space="preserve"> </v>
      </c>
      <c r="B49" s="185"/>
      <c r="C49" s="185"/>
      <c r="D49" s="185"/>
      <c r="E49" s="93" t="str">
        <f ca="1">VLOOKUP(12,INDIRECT($C$65),3,0)</f>
        <v xml:space="preserve"> </v>
      </c>
      <c r="F49" s="82"/>
      <c r="G49" s="83" t="str">
        <f>IF(OR(H2=9,H2=12,H2=13),"Wert - Abzug","")</f>
        <v/>
      </c>
      <c r="H49" s="84" t="str">
        <f t="shared" ca="1" si="1"/>
        <v/>
      </c>
    </row>
    <row r="50" spans="1:8" ht="15" thickBot="1" x14ac:dyDescent="0.4">
      <c r="A50" s="176" t="s">
        <v>98</v>
      </c>
      <c r="B50" s="177"/>
      <c r="C50" s="177"/>
      <c r="D50" s="177"/>
      <c r="E50" s="177"/>
      <c r="F50" s="177"/>
      <c r="G50" s="178"/>
      <c r="H50" s="44">
        <f ca="1">SUM(H38:H49)</f>
        <v>0</v>
      </c>
    </row>
    <row r="51" spans="1:8" ht="16" thickBot="1" x14ac:dyDescent="0.4">
      <c r="A51" s="169" t="s">
        <v>42</v>
      </c>
      <c r="B51" s="170"/>
      <c r="C51" s="170"/>
      <c r="D51" s="170"/>
      <c r="E51" s="170"/>
      <c r="F51" s="170"/>
      <c r="G51" s="170"/>
      <c r="H51" s="94">
        <f ca="1">SUM(H9,H18,H36,H50)</f>
        <v>170.3</v>
      </c>
    </row>
    <row r="52" spans="1:8" s="23" customFormat="1" x14ac:dyDescent="0.35">
      <c r="D52" s="50"/>
      <c r="E52" s="50"/>
      <c r="F52" s="50"/>
      <c r="G52" s="50"/>
    </row>
    <row r="53" spans="1:8" s="23" customFormat="1" hidden="1" x14ac:dyDescent="0.35">
      <c r="C53" s="24"/>
      <c r="D53" s="50"/>
      <c r="E53" s="50"/>
      <c r="F53" s="50"/>
      <c r="G53" s="50"/>
    </row>
    <row r="54" spans="1:8" s="23" customFormat="1" hidden="1" x14ac:dyDescent="0.35">
      <c r="B54" s="23" t="s">
        <v>249</v>
      </c>
      <c r="C54" s="23" t="str">
        <f>IF(H2&lt;13,"beide",F1)</f>
        <v>weiblich</v>
      </c>
      <c r="D54" s="50"/>
      <c r="E54" s="50"/>
      <c r="F54" s="50"/>
      <c r="G54" s="50"/>
    </row>
    <row r="55" spans="1:8" s="23" customFormat="1" hidden="1" x14ac:dyDescent="0.35">
      <c r="B55" s="23" t="s">
        <v>3</v>
      </c>
      <c r="C55" s="23" t="str">
        <f>IF(OR(H2=8,H2=11),H2,IF(H2&lt;11,"9_10",IF(H2&lt;14,"12_13",IF(H2&lt;16,"14_15",IF(H2&lt;18,"16_17",18)))))</f>
        <v>16_17</v>
      </c>
      <c r="D55" s="50"/>
      <c r="E55" s="50"/>
      <c r="F55" s="50"/>
      <c r="G55" s="50"/>
    </row>
    <row r="56" spans="1:8" s="23" customFormat="1" hidden="1" x14ac:dyDescent="0.35">
      <c r="D56" s="50"/>
      <c r="E56" s="50"/>
      <c r="F56" s="50"/>
      <c r="G56" s="50"/>
    </row>
    <row r="57" spans="1:8" s="23" customFormat="1" hidden="1" x14ac:dyDescent="0.35">
      <c r="B57" s="23" t="s">
        <v>251</v>
      </c>
      <c r="C57" s="23" t="str">
        <f>"TBN_"&amp;C54&amp;"_"&amp;C55</f>
        <v>TBN_weiblich_16_17</v>
      </c>
      <c r="D57" s="50"/>
      <c r="E57" s="50"/>
      <c r="F57" s="50"/>
      <c r="G57" s="50"/>
    </row>
    <row r="58" spans="1:8" s="23" customFormat="1" hidden="1" x14ac:dyDescent="0.35">
      <c r="C58" s="23" t="str">
        <f>C57&amp;"[Beschreibung]"</f>
        <v>TBN_weiblich_16_17[Beschreibung]</v>
      </c>
      <c r="D58" s="50"/>
      <c r="E58" s="50"/>
      <c r="F58" s="50"/>
      <c r="G58" s="50"/>
    </row>
    <row r="59" spans="1:8" s="23" customFormat="1" hidden="1" x14ac:dyDescent="0.35">
      <c r="D59" s="50"/>
      <c r="E59" s="50"/>
      <c r="F59" s="50"/>
      <c r="G59" s="50"/>
    </row>
    <row r="60" spans="1:8" s="23" customFormat="1" hidden="1" x14ac:dyDescent="0.35">
      <c r="B60" s="23" t="s">
        <v>147</v>
      </c>
      <c r="C60" s="23" t="str">
        <f>"TN_"&amp;C54&amp;"_"&amp;C55</f>
        <v>TN_weiblich_16_17</v>
      </c>
      <c r="D60" s="50"/>
      <c r="E60" s="50"/>
      <c r="F60" s="50"/>
      <c r="G60" s="50"/>
    </row>
    <row r="61" spans="1:8" s="23" customFormat="1" hidden="1" x14ac:dyDescent="0.35">
      <c r="C61" s="23" t="str">
        <f>C60&amp;"[Beschreibung]"</f>
        <v>TN_weiblich_16_17[Beschreibung]</v>
      </c>
      <c r="D61" s="50"/>
      <c r="E61" s="50"/>
      <c r="F61" s="50"/>
      <c r="G61" s="50"/>
    </row>
    <row r="62" spans="1:8" s="23" customFormat="1" hidden="1" x14ac:dyDescent="0.35">
      <c r="D62" s="50"/>
      <c r="E62" s="50"/>
      <c r="F62" s="50"/>
      <c r="G62" s="50"/>
    </row>
    <row r="63" spans="1:8" s="23" customFormat="1" hidden="1" x14ac:dyDescent="0.35">
      <c r="B63" s="23" t="s">
        <v>17</v>
      </c>
      <c r="C63" s="23" t="str">
        <f>"TV_"&amp;F1&amp;"_"&amp;C55</f>
        <v>TV_weiblich_16_17</v>
      </c>
      <c r="D63" s="50"/>
      <c r="E63" s="50"/>
      <c r="F63" s="50"/>
      <c r="G63" s="50"/>
    </row>
    <row r="64" spans="1:8" s="23" customFormat="1" hidden="1" x14ac:dyDescent="0.35">
      <c r="D64" s="50"/>
      <c r="E64" s="50"/>
      <c r="F64" s="50"/>
      <c r="G64" s="50"/>
    </row>
    <row r="65" spans="2:7" s="23" customFormat="1" hidden="1" x14ac:dyDescent="0.35">
      <c r="B65" s="23" t="s">
        <v>252</v>
      </c>
      <c r="C65" s="23" t="str">
        <f>"BKÜ"&amp;IF(H2=9,"_9",IF(H2&lt;12,"_10_11",IF(H2&lt;14,"_12_13",IF(H2&lt;17,"_14_16","_17"))))</f>
        <v>BKÜ_17</v>
      </c>
      <c r="D65" s="50"/>
      <c r="E65" s="50"/>
      <c r="F65" s="50"/>
      <c r="G65" s="50"/>
    </row>
    <row r="66" spans="2:7" s="23" customFormat="1" hidden="1" x14ac:dyDescent="0.35">
      <c r="D66" s="50"/>
      <c r="E66" s="50"/>
      <c r="F66" s="50"/>
      <c r="G66" s="50"/>
    </row>
    <row r="67" spans="2:7" s="23" customFormat="1" hidden="1" x14ac:dyDescent="0.35">
      <c r="B67" s="23" t="s">
        <v>250</v>
      </c>
      <c r="C67" s="23" t="str">
        <f>IF(H2&lt;17,"beide",F1)</f>
        <v>weiblich</v>
      </c>
      <c r="D67" s="50"/>
      <c r="E67" s="50"/>
      <c r="F67" s="50"/>
      <c r="G67" s="50"/>
    </row>
    <row r="68" spans="2:7" s="23" customFormat="1" hidden="1" x14ac:dyDescent="0.35">
      <c r="B68" s="23" t="s">
        <v>17</v>
      </c>
      <c r="C68" s="23" t="str">
        <f>"TV_"&amp;C67&amp;"_"&amp;C55</f>
        <v>TV_weiblich_16_17</v>
      </c>
      <c r="D68" s="50"/>
      <c r="E68" s="50"/>
      <c r="F68" s="50"/>
      <c r="G68" s="50"/>
    </row>
    <row r="69" spans="2:7" x14ac:dyDescent="0.35"/>
    <row r="70" spans="2:7" x14ac:dyDescent="0.35"/>
  </sheetData>
  <sheetProtection algorithmName="SHA-512" hashValue="IDeCc37Puv6/yV/o/akqrs4QQxYkhfmsWjoKDe0BydITwbClXa7ivpafM7wQvUiNqnF5pPRy5rd26FZ0pd/wlg==" saltValue="UeX2XaXFzje7Dl2sEyvyLg==" spinCount="100000" sheet="1" objects="1" scenarios="1" selectLockedCells="1"/>
  <protectedRanges>
    <protectedRange sqref="H1:H2 F1:F2 B1:B2" name="Athletendaten"/>
    <protectedRange sqref="F38:F49 C20:F35 D69:E440 C69:C441 F4:F8 C38:E68 C11:E16 F11:F17" name="Werte und Varianten"/>
    <protectedRange algorithmName="SHA-512" hashValue="EtPG7jm6pk6JVG08ToKZL4Sto4PS6TOUsygvFmj6DTfcGnX6DwKdfjTEg/2X1Hwnu/CwfNhBUSnXKs/oLqcupQ==" saltValue="sPse4fdTsI5OFESYvRIl8Q==" spinCount="100000" sqref="H4:H8 H38:H49 H20:H35 H11:H17" name="Punktzahlen"/>
  </protectedRanges>
  <mergeCells count="44">
    <mergeCell ref="A50:G50"/>
    <mergeCell ref="A51:G51"/>
    <mergeCell ref="A44:D44"/>
    <mergeCell ref="A45:D45"/>
    <mergeCell ref="A46:D46"/>
    <mergeCell ref="A47:D47"/>
    <mergeCell ref="A48:D48"/>
    <mergeCell ref="A49:D49"/>
    <mergeCell ref="A43:D43"/>
    <mergeCell ref="A32:B32"/>
    <mergeCell ref="A33:B33"/>
    <mergeCell ref="A34:B34"/>
    <mergeCell ref="A35:B35"/>
    <mergeCell ref="A36:G36"/>
    <mergeCell ref="A37:D37"/>
    <mergeCell ref="A38:D38"/>
    <mergeCell ref="A39:D39"/>
    <mergeCell ref="A40:D40"/>
    <mergeCell ref="A41:D41"/>
    <mergeCell ref="A42:D42"/>
    <mergeCell ref="A31:B31"/>
    <mergeCell ref="A13:E13"/>
    <mergeCell ref="A14:E14"/>
    <mergeCell ref="A15:E15"/>
    <mergeCell ref="A16:E16"/>
    <mergeCell ref="A18:G18"/>
    <mergeCell ref="A19:C19"/>
    <mergeCell ref="A20:B20"/>
    <mergeCell ref="A21:B21"/>
    <mergeCell ref="A22:B22"/>
    <mergeCell ref="A23:B23"/>
    <mergeCell ref="A30:B30"/>
    <mergeCell ref="A12:E12"/>
    <mergeCell ref="B1:E1"/>
    <mergeCell ref="B2:F2"/>
    <mergeCell ref="A3:E3"/>
    <mergeCell ref="A4:E4"/>
    <mergeCell ref="A5:E5"/>
    <mergeCell ref="A6:E6"/>
    <mergeCell ref="A7:E7"/>
    <mergeCell ref="A8:E8"/>
    <mergeCell ref="A9:G9"/>
    <mergeCell ref="A10:E10"/>
    <mergeCell ref="A11:E11"/>
  </mergeCells>
  <conditionalFormatting sqref="F46:F49">
    <cfRule type="expression" dxfId="235" priority="3">
      <formula>$A46=" "</formula>
    </cfRule>
  </conditionalFormatting>
  <conditionalFormatting sqref="B24:B29 C21:E29">
    <cfRule type="expression" dxfId="234" priority="2">
      <formula>$A21="entfällt"</formula>
    </cfRule>
    <cfRule type="expression" dxfId="233" priority="4">
      <formula>$H$2&gt;14</formula>
    </cfRule>
  </conditionalFormatting>
  <conditionalFormatting sqref="B24:B29">
    <cfRule type="expression" dxfId="232" priority="1">
      <formula>AND($A24="TN",$C24&lt;&gt;"")</formula>
    </cfRule>
  </conditionalFormatting>
  <dataValidations count="19">
    <dataValidation type="decimal" errorStyle="warning" allowBlank="1" showInputMessage="1" showErrorMessage="1" error="Eingegebener Abzug überschreitet maximal zulässigen Abzug, Wert bitte überprüfen!" sqref="F21:F35" xr:uid="{6FD0C557-AA5F-4DDF-A830-DB9C5C36EF26}">
      <formula1>0</formula1>
      <formula2>$E21</formula2>
    </dataValidation>
    <dataValidation type="list" allowBlank="1" showInputMessage="1" showErrorMessage="1" sqref="C20" xr:uid="{81A176F5-D84E-4DA0-8419-B0C445B91289}">
      <formula1>"Lichtschranke,Druckmessplatte"</formula1>
    </dataValidation>
    <dataValidation type="whole" allowBlank="1" showInputMessage="1" showErrorMessage="1" errorTitle="Falsche Eingabe" error="Bitte Wert prüfen" sqref="D17" xr:uid="{2DCD6431-9E16-40A5-B8A7-824C155A3546}">
      <formula1>1</formula1>
      <formula2>13</formula2>
    </dataValidation>
    <dataValidation type="list" allowBlank="1" showInputMessage="1" sqref="C24:C29" xr:uid="{4C8327CE-8522-4284-8A89-7EE87EE7A89C}">
      <formula1>INDIRECT($C$61)</formula1>
    </dataValidation>
    <dataValidation type="list" allowBlank="1" showInputMessage="1" sqref="C21:C23" xr:uid="{C9B2B52C-333F-4BD3-9BD3-19E724641249}">
      <formula1>INDIRECT($C$58)</formula1>
    </dataValidation>
    <dataValidation allowBlank="1" showInputMessage="1" showErrorMessage="1" prompt="Anzahl der Wiederholungen" sqref="F11" xr:uid="{91773380-0401-4162-9BB2-8EC4F28E26A6}"/>
    <dataValidation type="whole" allowBlank="1" showInputMessage="1" showErrorMessage="1" prompt="Abstand von der Oberkante des Turnhockers zur schlechtesten Fingerspitze in cm" sqref="F6" xr:uid="{D235DE6B-71D1-49F0-904B-8090DA20B851}">
      <formula1>-50</formula1>
      <formula2>50</formula2>
    </dataValidation>
    <dataValidation type="list" allowBlank="1" showInputMessage="1" showErrorMessage="1" prompt="Punktzahl nach Vergleich mit Bild" sqref="F5" xr:uid="{5BFD1BAE-C97E-4CF5-BC36-884FA2AA2B95}">
      <formula1>"0,2,6,10"</formula1>
    </dataValidation>
    <dataValidation type="whole" allowBlank="1" showErrorMessage="1" errorTitle="Falsche Eingabe" error="Bitte Wert prüfen" prompt="Höchste erreichte Stufe" sqref="F17" xr:uid="{43457322-7CA2-4774-A39E-07205D748375}">
      <formula1>1</formula1>
      <formula2>11</formula2>
    </dataValidation>
    <dataValidation allowBlank="1" sqref="D20:E20" xr:uid="{99AAE579-5B13-4B60-BFE6-EBFB505BE8BE}"/>
    <dataValidation type="decimal" errorStyle="warning" allowBlank="1" showInputMessage="1" showErrorMessage="1" error="Abzug höher als Wert des Elements, bitte überprüfen!" prompt="Abzug" sqref="F38:F49" xr:uid="{37D4CCB7-80B7-4DDE-9682-8725B99236EF}">
      <formula1>0</formula1>
      <formula2>$E38</formula2>
    </dataValidation>
    <dataValidation type="whole" allowBlank="1" showInputMessage="1" showErrorMessage="1" prompt="AKs 9 - 13: Übersprungene Kästchen_x000a__x000a_AKs 14 - 21: Anzahl Saltos" sqref="F15" xr:uid="{DCA4E0B9-5B31-48D8-BCBC-316FC3E9D83D}">
      <formula1>0</formula1>
      <formula2>50</formula2>
    </dataValidation>
    <dataValidation type="list" allowBlank="1" showInputMessage="1" showErrorMessage="1" sqref="F1" xr:uid="{C400343A-3F23-44E9-862D-FFDC14FED922}">
      <formula1>"männlich,weiblich"</formula1>
    </dataValidation>
    <dataValidation type="whole" allowBlank="1" showInputMessage="1" showErrorMessage="1" sqref="H4:H8" xr:uid="{4E60A663-E821-4FD3-B096-FF3DAE41A05B}">
      <formula1>0</formula1>
      <formula2>10</formula2>
    </dataValidation>
    <dataValidation type="whole" allowBlank="1" showInputMessage="1" showErrorMessage="1" prompt="Haltezeit in Sekunden" sqref="F13" xr:uid="{F85FDC43-60A0-4AB0-AF88-3DC1BEC91F82}">
      <formula1>0</formula1>
      <formula2>200</formula2>
    </dataValidation>
    <dataValidation type="whole" allowBlank="1" showInputMessage="1" showErrorMessage="1" prompt="Haltezeit in Sekunden" sqref="F16" xr:uid="{6799E755-ED12-422D-9399-122A022137CC}">
      <formula1>0</formula1>
      <formula2>100</formula2>
    </dataValidation>
    <dataValidation type="whole" allowBlank="1" showInputMessage="1" showErrorMessage="1" prompt="Anzahl der Wiederholungen" sqref="F14 F12" xr:uid="{C16E4305-6331-469C-9B6E-0AF742A6868F}">
      <formula1>0</formula1>
      <formula2>50</formula2>
    </dataValidation>
    <dataValidation type="list" operator="equal" allowBlank="1" showInputMessage="1" showErrorMessage="1" prompt="Punktzahl nach Vergleich mit Bild" sqref="F4" xr:uid="{F0F5E269-FE96-4DCA-BC49-F0B31F7177FA}">
      <formula1>"0,2,6,10"</formula1>
    </dataValidation>
    <dataValidation type="decimal" errorStyle="warning" showDropDown="1" showErrorMessage="1" error="Wert unrealistisch hoch, bitte Eingabe überprüfen" promptTitle="Vorsicht" sqref="F20" xr:uid="{48022F39-AA2B-4E60-95F3-0E36D82DB51B}">
      <formula1>0</formula1>
      <formula2>30</formula2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Bitte Werte aus Dropdown auswählen" prompt="Abstand vom Boden laut Schablone" xr:uid="{7FCD46FF-8255-4C39-8168-687C78291D06}">
          <x14:formula1>
            <xm:f>Punktetabellen!$A$3:$A$6</xm:f>
          </x14:formula1>
          <xm:sqref>F7:F8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5ABF5-2784-4905-B948-F40F74E4581F}">
  <sheetPr codeName="Tabelle24">
    <tabColor indexed="47"/>
    <pageSetUpPr fitToPage="1"/>
  </sheetPr>
  <dimension ref="A1:J70"/>
  <sheetViews>
    <sheetView zoomScale="85" zoomScaleNormal="85" workbookViewId="0">
      <pane ySplit="2" topLeftCell="A25" activePane="bottomLeft" state="frozen"/>
      <selection sqref="A1:H1"/>
      <selection pane="bottomLeft" activeCell="C20" sqref="C20"/>
    </sheetView>
  </sheetViews>
  <sheetFormatPr baseColWidth="10" defaultColWidth="0" defaultRowHeight="14.5" zeroHeight="1" outlineLevelRow="1" x14ac:dyDescent="0.35"/>
  <cols>
    <col min="1" max="1" width="11.453125" customWidth="1"/>
    <col min="2" max="2" width="12.1796875" customWidth="1"/>
    <col min="3" max="3" width="44.81640625" bestFit="1" customWidth="1"/>
    <col min="4" max="5" width="11.453125" style="148" customWidth="1"/>
    <col min="6" max="6" width="16.1796875" style="148" bestFit="1" customWidth="1"/>
    <col min="7" max="7" width="13.81640625" style="148" customWidth="1"/>
    <col min="8" max="8" width="11.453125" customWidth="1"/>
    <col min="9" max="9" width="6.1796875" style="23" hidden="1" customWidth="1"/>
    <col min="10" max="10" width="0" hidden="1" customWidth="1"/>
    <col min="11" max="16384" width="11.453125" hidden="1"/>
  </cols>
  <sheetData>
    <row r="1" spans="1:8" ht="15.5" x14ac:dyDescent="0.35">
      <c r="A1" s="16" t="s">
        <v>1</v>
      </c>
      <c r="B1" s="186" t="s">
        <v>373</v>
      </c>
      <c r="C1" s="187"/>
      <c r="D1" s="187"/>
      <c r="E1" s="188"/>
      <c r="F1" s="51" t="s">
        <v>97</v>
      </c>
      <c r="G1" s="61" t="s">
        <v>24</v>
      </c>
      <c r="H1" s="63">
        <v>2002</v>
      </c>
    </row>
    <row r="2" spans="1:8" ht="16" thickBot="1" x14ac:dyDescent="0.4">
      <c r="A2" s="17" t="s">
        <v>4</v>
      </c>
      <c r="B2" s="198" t="s">
        <v>374</v>
      </c>
      <c r="C2" s="199"/>
      <c r="D2" s="199"/>
      <c r="E2" s="199"/>
      <c r="F2" s="200"/>
      <c r="G2" s="62" t="s">
        <v>3</v>
      </c>
      <c r="H2" s="64">
        <f>2022-H1</f>
        <v>20</v>
      </c>
    </row>
    <row r="3" spans="1:8" ht="15" outlineLevel="1" thickBot="1" x14ac:dyDescent="0.4">
      <c r="A3" s="189" t="s">
        <v>26</v>
      </c>
      <c r="B3" s="190"/>
      <c r="C3" s="190"/>
      <c r="D3" s="190"/>
      <c r="E3" s="191"/>
      <c r="F3" s="46" t="s">
        <v>27</v>
      </c>
      <c r="G3" s="47" t="s">
        <v>28</v>
      </c>
      <c r="H3" s="22" t="s">
        <v>234</v>
      </c>
    </row>
    <row r="4" spans="1:8" outlineLevel="1" x14ac:dyDescent="0.35">
      <c r="A4" s="192" t="s">
        <v>30</v>
      </c>
      <c r="B4" s="193"/>
      <c r="C4" s="193"/>
      <c r="D4" s="193"/>
      <c r="E4" s="194"/>
      <c r="F4" s="25">
        <v>10</v>
      </c>
      <c r="G4" s="55" t="s">
        <v>32</v>
      </c>
      <c r="H4" s="34">
        <f>F4</f>
        <v>10</v>
      </c>
    </row>
    <row r="5" spans="1:8" outlineLevel="1" x14ac:dyDescent="0.35">
      <c r="A5" s="195" t="s">
        <v>85</v>
      </c>
      <c r="B5" s="196"/>
      <c r="C5" s="196"/>
      <c r="D5" s="196"/>
      <c r="E5" s="197"/>
      <c r="F5" s="14">
        <v>10</v>
      </c>
      <c r="G5" s="56" t="s">
        <v>32</v>
      </c>
      <c r="H5" s="35">
        <f>F5</f>
        <v>10</v>
      </c>
    </row>
    <row r="6" spans="1:8" outlineLevel="1" x14ac:dyDescent="0.35">
      <c r="A6" s="195" t="s">
        <v>33</v>
      </c>
      <c r="B6" s="196"/>
      <c r="C6" s="196"/>
      <c r="D6" s="196"/>
      <c r="E6" s="197"/>
      <c r="F6" s="14">
        <v>20</v>
      </c>
      <c r="G6" s="56" t="s">
        <v>31</v>
      </c>
      <c r="H6" s="35">
        <f>IF(F6="",0,VLOOKUP(F6,Punktetabellen!A10:B15,2,1))</f>
        <v>10</v>
      </c>
    </row>
    <row r="7" spans="1:8" outlineLevel="1" x14ac:dyDescent="0.35">
      <c r="A7" s="195" t="s">
        <v>34</v>
      </c>
      <c r="B7" s="196"/>
      <c r="C7" s="196"/>
      <c r="D7" s="196"/>
      <c r="E7" s="197"/>
      <c r="F7" s="14">
        <v>0</v>
      </c>
      <c r="G7" s="56" t="s">
        <v>31</v>
      </c>
      <c r="H7" s="35">
        <f>IF(F7="",0,VLOOKUP(F7,Punktetabellen!A3:B6,2,0))</f>
        <v>5</v>
      </c>
    </row>
    <row r="8" spans="1:8" ht="15" outlineLevel="1" thickBot="1" x14ac:dyDescent="0.4">
      <c r="A8" s="204" t="s">
        <v>35</v>
      </c>
      <c r="B8" s="205"/>
      <c r="C8" s="205"/>
      <c r="D8" s="205"/>
      <c r="E8" s="206"/>
      <c r="F8" s="41">
        <v>0</v>
      </c>
      <c r="G8" s="57" t="s">
        <v>31</v>
      </c>
      <c r="H8" s="36">
        <f>IF(F8="",0,VLOOKUP(F8,Punktetabellen!A3:B6,2,0))</f>
        <v>5</v>
      </c>
    </row>
    <row r="9" spans="1:8" ht="15" thickBot="1" x14ac:dyDescent="0.4">
      <c r="A9" s="210" t="s">
        <v>36</v>
      </c>
      <c r="B9" s="211"/>
      <c r="C9" s="211"/>
      <c r="D9" s="211"/>
      <c r="E9" s="211"/>
      <c r="F9" s="211"/>
      <c r="G9" s="211"/>
      <c r="H9" s="48">
        <f>SUM(H4:H8)</f>
        <v>40</v>
      </c>
    </row>
    <row r="10" spans="1:8" ht="15" outlineLevel="1" thickBot="1" x14ac:dyDescent="0.4">
      <c r="A10" s="189" t="s">
        <v>26</v>
      </c>
      <c r="B10" s="190"/>
      <c r="C10" s="190"/>
      <c r="D10" s="190"/>
      <c r="E10" s="191"/>
      <c r="F10" s="46" t="s">
        <v>27</v>
      </c>
      <c r="G10" s="47" t="s">
        <v>28</v>
      </c>
      <c r="H10" s="22" t="s">
        <v>234</v>
      </c>
    </row>
    <row r="11" spans="1:8" outlineLevel="1" x14ac:dyDescent="0.35">
      <c r="A11" s="207" t="s">
        <v>37</v>
      </c>
      <c r="B11" s="208"/>
      <c r="C11" s="208"/>
      <c r="D11" s="208"/>
      <c r="E11" s="209"/>
      <c r="F11" s="26">
        <v>14</v>
      </c>
      <c r="G11" s="58" t="s">
        <v>31</v>
      </c>
      <c r="H11" s="37">
        <f>IF($F11="",0,VLOOKUP($F11,Pkte_Klimmzug[],$H$2,1))</f>
        <v>9</v>
      </c>
    </row>
    <row r="12" spans="1:8" outlineLevel="1" x14ac:dyDescent="0.35">
      <c r="A12" s="201" t="s">
        <v>38</v>
      </c>
      <c r="B12" s="202"/>
      <c r="C12" s="202"/>
      <c r="D12" s="202"/>
      <c r="E12" s="203"/>
      <c r="F12" s="27">
        <v>5</v>
      </c>
      <c r="G12" s="59" t="s">
        <v>31</v>
      </c>
      <c r="H12" s="38">
        <f>IF($F12="",0,VLOOKUP($F12,Pkte_Beinheben[],$H$2,1))</f>
        <v>3</v>
      </c>
    </row>
    <row r="13" spans="1:8" outlineLevel="1" x14ac:dyDescent="0.35">
      <c r="A13" s="201" t="s">
        <v>88</v>
      </c>
      <c r="B13" s="202"/>
      <c r="C13" s="202"/>
      <c r="D13" s="202"/>
      <c r="E13" s="203"/>
      <c r="F13" s="27">
        <v>100</v>
      </c>
      <c r="G13" s="59" t="s">
        <v>31</v>
      </c>
      <c r="H13" s="38">
        <f>IF($F13="",0,VLOOKUP($F13,Pkte_Flieger[],$H$2,1))</f>
        <v>8</v>
      </c>
    </row>
    <row r="14" spans="1:8" outlineLevel="1" x14ac:dyDescent="0.35">
      <c r="A14" s="201" t="s">
        <v>39</v>
      </c>
      <c r="B14" s="202"/>
      <c r="C14" s="202"/>
      <c r="D14" s="202"/>
      <c r="E14" s="203"/>
      <c r="F14" s="27">
        <v>29</v>
      </c>
      <c r="G14" s="59" t="s">
        <v>31</v>
      </c>
      <c r="H14" s="38">
        <f>IF($F14="",0,VLOOKUP($F14,Pkte_Rollenverbindung[],$H$2,1))</f>
        <v>10</v>
      </c>
    </row>
    <row r="15" spans="1:8" outlineLevel="1" x14ac:dyDescent="0.35">
      <c r="A15" s="201" t="s">
        <v>89</v>
      </c>
      <c r="B15" s="202"/>
      <c r="C15" s="202"/>
      <c r="D15" s="202"/>
      <c r="E15" s="203"/>
      <c r="F15" s="27">
        <v>8</v>
      </c>
      <c r="G15" s="59" t="s">
        <v>31</v>
      </c>
      <c r="H15" s="38">
        <f>IF($F15="",0,VLOOKUP($F15,Pkte_Prellsprung[],$H$2,1))</f>
        <v>8</v>
      </c>
    </row>
    <row r="16" spans="1:8" outlineLevel="1" x14ac:dyDescent="0.35">
      <c r="A16" s="201" t="s">
        <v>90</v>
      </c>
      <c r="B16" s="202"/>
      <c r="C16" s="202"/>
      <c r="D16" s="202"/>
      <c r="E16" s="203"/>
      <c r="F16" s="28">
        <v>30</v>
      </c>
      <c r="G16" s="59" t="s">
        <v>31</v>
      </c>
      <c r="H16" s="38">
        <f>IF($F16="",0,VLOOKUP($F16,Pkte_Handstand[],$H$2,1))</f>
        <v>10</v>
      </c>
    </row>
    <row r="17" spans="1:8" ht="15" outlineLevel="1" thickBot="1" x14ac:dyDescent="0.4">
      <c r="A17" s="112" t="s">
        <v>93</v>
      </c>
      <c r="B17" s="113"/>
      <c r="C17" s="114" t="s">
        <v>269</v>
      </c>
      <c r="D17" s="29">
        <v>9</v>
      </c>
      <c r="E17" s="115" t="s">
        <v>270</v>
      </c>
      <c r="F17" s="29">
        <v>5</v>
      </c>
      <c r="G17" s="60" t="s">
        <v>31</v>
      </c>
      <c r="H17" s="39">
        <f>IF($F17="",0,IF($F$1="weiblich",VLOOKUP((100*$D17+$F17),Pkte_Shuttle_W[],$H$2,1),VLOOKUP((100*$D17+$F17),Pkte_Shuttle_M[],$H$2,1)))</f>
        <v>7</v>
      </c>
    </row>
    <row r="18" spans="1:8" ht="15" thickBot="1" x14ac:dyDescent="0.4">
      <c r="A18" s="161" t="s">
        <v>40</v>
      </c>
      <c r="B18" s="162"/>
      <c r="C18" s="162"/>
      <c r="D18" s="162"/>
      <c r="E18" s="162"/>
      <c r="F18" s="162"/>
      <c r="G18" s="162"/>
      <c r="H18" s="48">
        <f>SUM(H11:H17)</f>
        <v>55</v>
      </c>
    </row>
    <row r="19" spans="1:8" ht="15" outlineLevel="1" thickBot="1" x14ac:dyDescent="0.4">
      <c r="A19" s="159" t="s">
        <v>26</v>
      </c>
      <c r="B19" s="160"/>
      <c r="C19" s="160"/>
      <c r="D19" s="85" t="s">
        <v>235</v>
      </c>
      <c r="E19" s="85" t="s">
        <v>238</v>
      </c>
      <c r="F19" s="85" t="s">
        <v>236</v>
      </c>
      <c r="G19" s="86" t="s">
        <v>28</v>
      </c>
      <c r="H19" s="49" t="s">
        <v>234</v>
      </c>
    </row>
    <row r="20" spans="1:8" outlineLevel="1" x14ac:dyDescent="0.35">
      <c r="A20" s="167" t="s">
        <v>148</v>
      </c>
      <c r="B20" s="168"/>
      <c r="C20" s="116" t="str">
        <f>Infos!A10</f>
        <v>Druckmessplatte</v>
      </c>
      <c r="D20" s="90">
        <f>IF(F1="männlich",VLOOKUP(H2,Standsprünge!A3:C15,3,0),VLOOKUP(H2,Standsprünge!A3:B15,2,0))+IF(C20="Druckmessplatte",0)</f>
        <v>16.3</v>
      </c>
      <c r="E20" s="90"/>
      <c r="F20" s="67">
        <v>16.765000000000001</v>
      </c>
      <c r="G20" s="91" t="s">
        <v>149</v>
      </c>
      <c r="H20" s="88">
        <f>IF(F20="",0,(F20-D20)*10)</f>
        <v>4.6499999999999986</v>
      </c>
    </row>
    <row r="21" spans="1:8" outlineLevel="1" x14ac:dyDescent="0.35">
      <c r="A21" s="165" t="str">
        <f>IF(H2&gt;15,"entfällt","TBN")</f>
        <v>entfällt</v>
      </c>
      <c r="B21" s="166"/>
      <c r="C21" s="77"/>
      <c r="D21" s="78" t="str">
        <f ca="1">IF(C21="","",VLOOKUP(C21,INDIRECT($C$57),2,0))</f>
        <v/>
      </c>
      <c r="E21" s="78" t="str">
        <f ca="1">IF(C21="","",VLOOKUP(C21,INDIRECT($C$57),3,0))</f>
        <v/>
      </c>
      <c r="F21" s="42"/>
      <c r="G21" s="71" t="str">
        <f>IF(H2&gt;16,"entfällt","Wert - Abzug")</f>
        <v>entfällt</v>
      </c>
      <c r="H21" s="66">
        <f>IF(A21="entfällt",0,IF(F21="",0,D21-F21))</f>
        <v>0</v>
      </c>
    </row>
    <row r="22" spans="1:8" outlineLevel="1" x14ac:dyDescent="0.35">
      <c r="A22" s="165" t="str">
        <f>IF(H2&gt;15,"entfällt","TBN")</f>
        <v>entfällt</v>
      </c>
      <c r="B22" s="166"/>
      <c r="C22" s="77"/>
      <c r="D22" s="78" t="str">
        <f ca="1">IF(C22="","",VLOOKUP(C22,INDIRECT($C$57),2,0))</f>
        <v/>
      </c>
      <c r="E22" s="78" t="str">
        <f ca="1">IF(C22="","",VLOOKUP(C22,INDIRECT($C$57),3,0))</f>
        <v/>
      </c>
      <c r="F22" s="42"/>
      <c r="G22" s="71" t="str">
        <f>IF(H2&gt;16,"entfällt","Wert - Abzug")</f>
        <v>entfällt</v>
      </c>
      <c r="H22" s="66">
        <f t="shared" ref="H22:H28" si="0">IF(A22="entfällt",0,IF(F22="",0,D22-F22))</f>
        <v>0</v>
      </c>
    </row>
    <row r="23" spans="1:8" outlineLevel="1" x14ac:dyDescent="0.35">
      <c r="A23" s="165" t="str">
        <f>IF(H2&gt;11,"entfällt","TBN")</f>
        <v>entfällt</v>
      </c>
      <c r="B23" s="166"/>
      <c r="C23" s="77"/>
      <c r="D23" s="78" t="str">
        <f ca="1">IF(C23="","",VLOOKUP(C23,INDIRECT($C$57),2,0))</f>
        <v/>
      </c>
      <c r="E23" s="78" t="str">
        <f ca="1">IF(C23="","",VLOOKUP(C23,INDIRECT($C$57),3,0))</f>
        <v/>
      </c>
      <c r="F23" s="42"/>
      <c r="G23" s="71" t="str">
        <f>IF(H2&gt;16,"entfällt","Wert - Abzug")</f>
        <v>entfällt</v>
      </c>
      <c r="H23" s="66">
        <f t="shared" si="0"/>
        <v>0</v>
      </c>
    </row>
    <row r="24" spans="1:8" outlineLevel="1" x14ac:dyDescent="0.35">
      <c r="A24" s="110" t="s">
        <v>147</v>
      </c>
      <c r="B24" s="111"/>
      <c r="C24" s="77" t="s">
        <v>193</v>
      </c>
      <c r="D24" s="78">
        <v>17</v>
      </c>
      <c r="E24" s="78">
        <v>6</v>
      </c>
      <c r="F24" s="42">
        <v>4</v>
      </c>
      <c r="G24" s="71" t="s">
        <v>146</v>
      </c>
      <c r="H24" s="66">
        <f t="shared" si="0"/>
        <v>13</v>
      </c>
    </row>
    <row r="25" spans="1:8" outlineLevel="1" x14ac:dyDescent="0.35">
      <c r="A25" s="110" t="s">
        <v>147</v>
      </c>
      <c r="B25" s="111"/>
      <c r="C25" s="77" t="s">
        <v>195</v>
      </c>
      <c r="D25" s="78">
        <v>16</v>
      </c>
      <c r="E25" s="78">
        <v>6</v>
      </c>
      <c r="F25" s="42">
        <v>4</v>
      </c>
      <c r="G25" s="71" t="s">
        <v>146</v>
      </c>
      <c r="H25" s="66">
        <f t="shared" si="0"/>
        <v>12</v>
      </c>
    </row>
    <row r="26" spans="1:8" outlineLevel="1" x14ac:dyDescent="0.35">
      <c r="A26" s="110" t="s">
        <v>147</v>
      </c>
      <c r="B26" s="111"/>
      <c r="C26" s="77" t="s">
        <v>382</v>
      </c>
      <c r="D26" s="78">
        <v>15</v>
      </c>
      <c r="E26" s="78">
        <v>6</v>
      </c>
      <c r="F26" s="42">
        <v>4</v>
      </c>
      <c r="G26" s="71" t="s">
        <v>146</v>
      </c>
      <c r="H26" s="66">
        <f t="shared" si="0"/>
        <v>11</v>
      </c>
    </row>
    <row r="27" spans="1:8" outlineLevel="1" x14ac:dyDescent="0.35">
      <c r="A27" s="110" t="str">
        <f>IF(H2&gt;11,"TN","entfällt")</f>
        <v>TN</v>
      </c>
      <c r="B27" s="111"/>
      <c r="C27" s="77" t="s">
        <v>194</v>
      </c>
      <c r="D27" s="78">
        <v>20</v>
      </c>
      <c r="E27" s="78">
        <v>6</v>
      </c>
      <c r="F27" s="42">
        <v>4</v>
      </c>
      <c r="G27" s="71" t="str">
        <f>IF(H2&gt;12,"Wert - Abzug","entfällt")</f>
        <v>Wert - Abzug</v>
      </c>
      <c r="H27" s="66">
        <f t="shared" si="0"/>
        <v>16</v>
      </c>
    </row>
    <row r="28" spans="1:8" outlineLevel="1" x14ac:dyDescent="0.35">
      <c r="A28" s="110" t="str">
        <f>IF(H2&gt;15,"TN","entfällt")</f>
        <v>TN</v>
      </c>
      <c r="B28" s="111"/>
      <c r="C28" s="77"/>
      <c r="D28" s="78"/>
      <c r="E28" s="78"/>
      <c r="F28" s="42"/>
      <c r="G28" s="71" t="str">
        <f>IF(H2&gt;16,"Wert - Abzug","entfällt")</f>
        <v>Wert - Abzug</v>
      </c>
      <c r="H28" s="66">
        <f t="shared" si="0"/>
        <v>0</v>
      </c>
    </row>
    <row r="29" spans="1:8" outlineLevel="1" x14ac:dyDescent="0.35">
      <c r="A29" s="110" t="str">
        <f>IF(H2&gt;15,"TN","entfällt")</f>
        <v>TN</v>
      </c>
      <c r="B29" s="111"/>
      <c r="C29" s="77"/>
      <c r="D29" s="78"/>
      <c r="E29" s="78"/>
      <c r="F29" s="42"/>
      <c r="G29" s="71" t="str">
        <f>IF(H2&gt;16,"Wert - Abzug","entfällt")</f>
        <v>Wert - Abzug</v>
      </c>
      <c r="H29" s="66">
        <f>IF(A29="entfällt",0,IF(F29="",0,D29-F29))</f>
        <v>0</v>
      </c>
    </row>
    <row r="30" spans="1:8" outlineLevel="1" x14ac:dyDescent="0.35">
      <c r="A30" s="165" t="str">
        <f>IF($H$2&gt;10,"Verbindung Sprung 1","entfällt")</f>
        <v>Verbindung Sprung 1</v>
      </c>
      <c r="B30" s="166"/>
      <c r="C30" s="40" t="str">
        <f ca="1">IF(A30&lt;&gt;"entfällt",VLOOKUP(1,INDIRECT($C$68),2,0),"")</f>
        <v>803&lt;</v>
      </c>
      <c r="D30" s="40">
        <f ca="1">IF(A30&lt;&gt;"entfällt",VLOOKUP(1,INDIRECT($C$68),3,0),"")</f>
        <v>15</v>
      </c>
      <c r="E30" s="40">
        <f ca="1">IF(A30&lt;&gt;"entfällt",VLOOKUP(1,INDIRECT($C$68),4,0),"")</f>
        <v>3</v>
      </c>
      <c r="F30" s="42">
        <v>3</v>
      </c>
      <c r="G30" s="71" t="str">
        <f>IF(H2&gt;12,"Wert - Abzug","entfällt")</f>
        <v>Wert - Abzug</v>
      </c>
      <c r="H30" s="66"/>
    </row>
    <row r="31" spans="1:8" outlineLevel="1" x14ac:dyDescent="0.35">
      <c r="A31" s="165" t="str">
        <f>IF($H$2&gt;10,"Verbindung Sprung 2","entfällt")</f>
        <v>Verbindung Sprung 2</v>
      </c>
      <c r="B31" s="166"/>
      <c r="C31" s="40" t="str">
        <f ca="1">IF(A31&lt;&gt;"entfällt",VLOOKUP(2,INDIRECT($C$68),2,0),"")</f>
        <v>40&lt;</v>
      </c>
      <c r="D31" s="40">
        <f ca="1">IF(A31&lt;&gt;"entfällt",VLOOKUP(2,INDIRECT($C$68),3,0),"")</f>
        <v>6</v>
      </c>
      <c r="E31" s="40">
        <f ca="1">IF(A31&lt;&gt;"entfällt",VLOOKUP(2,INDIRECT($C$68),4,0),"")</f>
        <v>3</v>
      </c>
      <c r="F31" s="42">
        <v>1</v>
      </c>
      <c r="G31" s="71" t="str">
        <f>IF(H2&gt;12,"Wert - Abzug","entfällt")</f>
        <v>Wert - Abzug</v>
      </c>
      <c r="H31" s="66"/>
    </row>
    <row r="32" spans="1:8" outlineLevel="1" x14ac:dyDescent="0.35">
      <c r="A32" s="165" t="str">
        <f>IF($H$2&gt;10,"Verbindung Sprung 3","entfällt")</f>
        <v>Verbindung Sprung 3</v>
      </c>
      <c r="B32" s="166"/>
      <c r="C32" s="40" t="str">
        <f ca="1">IF(A32&lt;&gt;"entfällt",VLOOKUP(3,INDIRECT($C$68),2,0),"")</f>
        <v>801&lt;</v>
      </c>
      <c r="D32" s="40">
        <f ca="1">IF(A32&lt;&gt;"entfällt",VLOOKUP(3,INDIRECT($C$68),3,0),"")</f>
        <v>13</v>
      </c>
      <c r="E32" s="40">
        <f ca="1">IF(A32&lt;&gt;"entfällt",VLOOKUP(3,INDIRECT($C$68),4,0),"")</f>
        <v>3</v>
      </c>
      <c r="F32" s="42">
        <v>2</v>
      </c>
      <c r="G32" s="71" t="str">
        <f>IF(H2&gt;12,"Wert - Abzug","entfällt")</f>
        <v>Wert - Abzug</v>
      </c>
      <c r="H32" s="66"/>
    </row>
    <row r="33" spans="1:8" outlineLevel="1" x14ac:dyDescent="0.35">
      <c r="A33" s="165" t="str">
        <f>IF($H$2&gt;10,"Verbindung Sprung 4","entfällt")</f>
        <v>Verbindung Sprung 4</v>
      </c>
      <c r="B33" s="166"/>
      <c r="C33" s="40" t="str">
        <f ca="1">IF(A33&lt;&gt;"entfällt",VLOOKUP(4,INDIRECT($C$68),2,0),"")</f>
        <v>40/</v>
      </c>
      <c r="D33" s="40">
        <f ca="1">IF(A33&lt;&gt;"entfällt",VLOOKUP(4,INDIRECT($C$68),3,0),"")</f>
        <v>6</v>
      </c>
      <c r="E33" s="40">
        <f ca="1">IF(A33&lt;&gt;"entfällt",VLOOKUP(4,INDIRECT($C$68),4,0),"")</f>
        <v>3</v>
      </c>
      <c r="F33" s="42">
        <v>1</v>
      </c>
      <c r="G33" s="71" t="str">
        <f>IF(H2&gt;12,"Wert - Abzug","entfällt")</f>
        <v>Wert - Abzug</v>
      </c>
      <c r="H33" s="66"/>
    </row>
    <row r="34" spans="1:8" outlineLevel="1" x14ac:dyDescent="0.35">
      <c r="A34" s="165" t="str">
        <f>IF($H$2&gt;10,"Verbindung Sprung 5","entfällt")</f>
        <v>Verbindung Sprung 5</v>
      </c>
      <c r="B34" s="166"/>
      <c r="C34" s="40" t="str">
        <f ca="1">IF(A34&lt;&gt;"entfällt",VLOOKUP(5,INDIRECT($C$68),2,0),"")</f>
        <v>41/</v>
      </c>
      <c r="D34" s="40">
        <f ca="1">IF(A34&lt;&gt;"entfällt",VLOOKUP(5,INDIRECT($C$68),3,0),"")</f>
        <v>6</v>
      </c>
      <c r="E34" s="40">
        <f ca="1">IF(A34&lt;&gt;"entfällt",VLOOKUP(5,INDIRECT($C$68),4,0),"")</f>
        <v>3</v>
      </c>
      <c r="F34" s="42">
        <v>2</v>
      </c>
      <c r="G34" s="71" t="str">
        <f>IF(H2&gt;12,"Wert - Abzug","entfällt")</f>
        <v>Wert - Abzug</v>
      </c>
      <c r="H34" s="66"/>
    </row>
    <row r="35" spans="1:8" ht="15" outlineLevel="1" thickBot="1" x14ac:dyDescent="0.4">
      <c r="A35" s="171" t="str">
        <f>IF($H$2&gt;10,"Verbindung Sprung 6","entfällt")</f>
        <v>Verbindung Sprung 6</v>
      </c>
      <c r="B35" s="172"/>
      <c r="C35" s="68" t="str">
        <f ca="1">IF(A35&lt;&gt;"entfällt",VLOOKUP(6,INDIRECT($C$68),2,0),"")</f>
        <v>811°</v>
      </c>
      <c r="D35" s="68">
        <f ca="1">IF(A35&lt;&gt;"entfällt",VLOOKUP(6,INDIRECT($C$68),3,0),"")</f>
        <v>12</v>
      </c>
      <c r="E35" s="68">
        <f ca="1">IF(A35&lt;&gt;"entfällt",VLOOKUP(6,INDIRECT($C$68),4,0),"")</f>
        <v>3</v>
      </c>
      <c r="F35" s="69">
        <v>3</v>
      </c>
      <c r="G35" s="72" t="str">
        <f>IF(H2&gt;12,"Wert - Abzug","entfällt")</f>
        <v>Wert - Abzug</v>
      </c>
      <c r="H35" s="70">
        <f>30-F30-F31-F32-F33-F34-F35</f>
        <v>18</v>
      </c>
    </row>
    <row r="36" spans="1:8" ht="15" thickBot="1" x14ac:dyDescent="0.4">
      <c r="A36" s="173" t="s">
        <v>41</v>
      </c>
      <c r="B36" s="174"/>
      <c r="C36" s="174"/>
      <c r="D36" s="174"/>
      <c r="E36" s="174"/>
      <c r="F36" s="174"/>
      <c r="G36" s="175"/>
      <c r="H36" s="89">
        <f>SUM(H20:H35)</f>
        <v>74.650000000000006</v>
      </c>
    </row>
    <row r="37" spans="1:8" ht="15" outlineLevel="1" thickBot="1" x14ac:dyDescent="0.4">
      <c r="A37" s="181" t="s">
        <v>99</v>
      </c>
      <c r="B37" s="182"/>
      <c r="C37" s="182"/>
      <c r="D37" s="183"/>
      <c r="E37" s="85" t="s">
        <v>27</v>
      </c>
      <c r="F37" s="85" t="s">
        <v>237</v>
      </c>
      <c r="G37" s="86" t="s">
        <v>28</v>
      </c>
      <c r="H37" s="49" t="s">
        <v>234</v>
      </c>
    </row>
    <row r="38" spans="1:8" outlineLevel="1" x14ac:dyDescent="0.35">
      <c r="A38" s="179" t="str">
        <f ca="1">VLOOKUP(1,INDIRECT($C$65),2,0)</f>
        <v>Salto vorwärts gehockt aus dem Stand</v>
      </c>
      <c r="B38" s="180"/>
      <c r="C38" s="180"/>
      <c r="D38" s="180"/>
      <c r="E38" s="92">
        <f ca="1">VLOOKUP(1,INDIRECT($C$65),3,0)</f>
        <v>5</v>
      </c>
      <c r="F38" s="79"/>
      <c r="G38" s="80" t="s">
        <v>146</v>
      </c>
      <c r="H38" s="84">
        <f ca="1">IF(E38=" ","",IF(F38="",0,E38-F38))</f>
        <v>0</v>
      </c>
    </row>
    <row r="39" spans="1:8" outlineLevel="1" x14ac:dyDescent="0.35">
      <c r="A39" s="163" t="str">
        <f ca="1">VLOOKUP(2,INDIRECT($C$65),2,0)</f>
        <v>Vorspreizen, Bestellschritt, Strecksprung 3/2 Drehung</v>
      </c>
      <c r="B39" s="164"/>
      <c r="C39" s="164"/>
      <c r="D39" s="164"/>
      <c r="E39" s="87">
        <f ca="1">VLOOKUP(2,INDIRECT($C$65),3,0)</f>
        <v>3</v>
      </c>
      <c r="F39" s="43"/>
      <c r="G39" s="81" t="s">
        <v>146</v>
      </c>
      <c r="H39" s="84">
        <f t="shared" ref="H39:H49" ca="1" si="1">IF(E39=" ","",IF(F39="",0,E39-F39))</f>
        <v>0</v>
      </c>
    </row>
    <row r="40" spans="1:8" outlineLevel="1" x14ac:dyDescent="0.35">
      <c r="A40" s="163" t="str">
        <f ca="1">VLOOKUP(3,INDIRECT($C$65),2,0)</f>
        <v>Rolle rückwärts durch Handstand mit 1/2 Drehung</v>
      </c>
      <c r="B40" s="164"/>
      <c r="C40" s="164"/>
      <c r="D40" s="164"/>
      <c r="E40" s="87">
        <f ca="1">VLOOKUP(3,INDIRECT($C$65),3,0)</f>
        <v>4</v>
      </c>
      <c r="F40" s="43"/>
      <c r="G40" s="81" t="s">
        <v>146</v>
      </c>
      <c r="H40" s="84">
        <f t="shared" ca="1" si="1"/>
        <v>0</v>
      </c>
    </row>
    <row r="41" spans="1:8" outlineLevel="1" x14ac:dyDescent="0.35">
      <c r="A41" s="163" t="str">
        <f ca="1">VLOOKUP(4,INDIRECT($C$65),2,0)</f>
        <v>--&gt; Strecksprung --&gt; Salto vorwärts gehockt</v>
      </c>
      <c r="B41" s="164"/>
      <c r="C41" s="164"/>
      <c r="D41" s="164"/>
      <c r="E41" s="87">
        <f ca="1">VLOOKUP(4,INDIRECT($C$65),3,0)</f>
        <v>4</v>
      </c>
      <c r="F41" s="43"/>
      <c r="G41" s="81" t="s">
        <v>146</v>
      </c>
      <c r="H41" s="84">
        <f t="shared" ca="1" si="1"/>
        <v>0</v>
      </c>
    </row>
    <row r="42" spans="1:8" outlineLevel="1" x14ac:dyDescent="0.35">
      <c r="A42" s="163" t="str">
        <f ca="1">VLOOKUP(5,INDIRECT($C$65),2,0)</f>
        <v>Wiener, 1/2 Drehung, absenken zum Stand</v>
      </c>
      <c r="B42" s="164"/>
      <c r="C42" s="164"/>
      <c r="D42" s="164"/>
      <c r="E42" s="87">
        <f ca="1">VLOOKUP(5,INDIRECT($C$65),3,0)</f>
        <v>4</v>
      </c>
      <c r="F42" s="43"/>
      <c r="G42" s="81" t="s">
        <v>146</v>
      </c>
      <c r="H42" s="84">
        <f t="shared" ca="1" si="1"/>
        <v>0</v>
      </c>
    </row>
    <row r="43" spans="1:8" outlineLevel="1" x14ac:dyDescent="0.35">
      <c r="A43" s="163" t="str">
        <f ca="1">VLOOKUP(6,INDIRECT($C$65),2,0)</f>
        <v>Handstand mit zwei Hüpfern, abrollen</v>
      </c>
      <c r="B43" s="164"/>
      <c r="C43" s="164"/>
      <c r="D43" s="164"/>
      <c r="E43" s="87">
        <f ca="1">VLOOKUP(6,INDIRECT($C$65),3,0)</f>
        <v>2</v>
      </c>
      <c r="F43" s="43"/>
      <c r="G43" s="81" t="s">
        <v>146</v>
      </c>
      <c r="H43" s="84">
        <f t="shared" ca="1" si="1"/>
        <v>0</v>
      </c>
    </row>
    <row r="44" spans="1:8" outlineLevel="1" x14ac:dyDescent="0.35">
      <c r="A44" s="163" t="str">
        <f ca="1">VLOOKUP(7,INDIRECT($C$65),2,0)</f>
        <v>--&gt; aufstehen mit gestreckten Beinen</v>
      </c>
      <c r="B44" s="164"/>
      <c r="C44" s="164"/>
      <c r="D44" s="164"/>
      <c r="E44" s="87">
        <f ca="1">VLOOKUP(7,INDIRECT($C$65),3,0)</f>
        <v>3</v>
      </c>
      <c r="F44" s="43"/>
      <c r="G44" s="81" t="s">
        <v>146</v>
      </c>
      <c r="H44" s="84">
        <f t="shared" ca="1" si="1"/>
        <v>0</v>
      </c>
    </row>
    <row r="45" spans="1:8" outlineLevel="1" x14ac:dyDescent="0.35">
      <c r="A45" s="163" t="str">
        <f ca="1">VLOOKUP(8,INDIRECT($C$65),2,0)</f>
        <v>Salto rückwärts gebückt</v>
      </c>
      <c r="B45" s="164"/>
      <c r="C45" s="164"/>
      <c r="D45" s="164"/>
      <c r="E45" s="87">
        <f ca="1">VLOOKUP(8,INDIRECT($C$65),3,0)</f>
        <v>5</v>
      </c>
      <c r="F45" s="43"/>
      <c r="G45" s="81" t="s">
        <v>146</v>
      </c>
      <c r="H45" s="84">
        <f t="shared" ca="1" si="1"/>
        <v>0</v>
      </c>
    </row>
    <row r="46" spans="1:8" outlineLevel="1" x14ac:dyDescent="0.35">
      <c r="A46" s="163" t="str">
        <f ca="1">VLOOKUP(9,INDIRECT($C$65),2,0)</f>
        <v xml:space="preserve"> </v>
      </c>
      <c r="B46" s="164"/>
      <c r="C46" s="164"/>
      <c r="D46" s="164"/>
      <c r="E46" s="87" t="str">
        <f ca="1">VLOOKUP(9,INDIRECT($C$65),3,0)</f>
        <v xml:space="preserve"> </v>
      </c>
      <c r="F46" s="43"/>
      <c r="G46" s="81" t="str">
        <f>IF(H2&gt;16,"","Wert - Abzug")</f>
        <v/>
      </c>
      <c r="H46" s="84" t="str">
        <f t="shared" ca="1" si="1"/>
        <v/>
      </c>
    </row>
    <row r="47" spans="1:8" outlineLevel="1" x14ac:dyDescent="0.35">
      <c r="A47" s="163" t="str">
        <f ca="1">VLOOKUP(10,INDIRECT($C$65),2,0)</f>
        <v xml:space="preserve"> </v>
      </c>
      <c r="B47" s="164"/>
      <c r="C47" s="164"/>
      <c r="D47" s="164"/>
      <c r="E47" s="87" t="str">
        <f ca="1">VLOOKUP(10,INDIRECT($C$65),3,0)</f>
        <v xml:space="preserve"> </v>
      </c>
      <c r="F47" s="43"/>
      <c r="G47" s="81" t="str">
        <f>IF(H2&gt;16,"","Wert - Abzug")</f>
        <v/>
      </c>
      <c r="H47" s="84" t="str">
        <f t="shared" ca="1" si="1"/>
        <v/>
      </c>
    </row>
    <row r="48" spans="1:8" outlineLevel="1" x14ac:dyDescent="0.35">
      <c r="A48" s="163" t="str">
        <f ca="1">VLOOKUP(11,INDIRECT($C$65),2,0)</f>
        <v xml:space="preserve"> </v>
      </c>
      <c r="B48" s="164"/>
      <c r="C48" s="164"/>
      <c r="D48" s="164"/>
      <c r="E48" s="87" t="str">
        <f ca="1">VLOOKUP(11,INDIRECT($C$65),3,0)</f>
        <v xml:space="preserve"> </v>
      </c>
      <c r="F48" s="43"/>
      <c r="G48" s="81" t="str">
        <f>IF(H2&gt;13,"","Wert - Abzug")</f>
        <v/>
      </c>
      <c r="H48" s="84" t="str">
        <f t="shared" ca="1" si="1"/>
        <v/>
      </c>
    </row>
    <row r="49" spans="1:8" ht="15" outlineLevel="1" thickBot="1" x14ac:dyDescent="0.4">
      <c r="A49" s="184" t="str">
        <f ca="1">VLOOKUP(12,INDIRECT($C$65),2,0)</f>
        <v xml:space="preserve"> </v>
      </c>
      <c r="B49" s="185"/>
      <c r="C49" s="185"/>
      <c r="D49" s="185"/>
      <c r="E49" s="93" t="str">
        <f ca="1">VLOOKUP(12,INDIRECT($C$65),3,0)</f>
        <v xml:space="preserve"> </v>
      </c>
      <c r="F49" s="82"/>
      <c r="G49" s="83" t="str">
        <f>IF(OR(H2=9,H2=12,H2=13),"Wert - Abzug","")</f>
        <v/>
      </c>
      <c r="H49" s="84" t="str">
        <f t="shared" ca="1" si="1"/>
        <v/>
      </c>
    </row>
    <row r="50" spans="1:8" ht="15" thickBot="1" x14ac:dyDescent="0.4">
      <c r="A50" s="176" t="s">
        <v>98</v>
      </c>
      <c r="B50" s="177"/>
      <c r="C50" s="177"/>
      <c r="D50" s="177"/>
      <c r="E50" s="177"/>
      <c r="F50" s="177"/>
      <c r="G50" s="178"/>
      <c r="H50" s="44">
        <f ca="1">SUM(H38:H49)</f>
        <v>0</v>
      </c>
    </row>
    <row r="51" spans="1:8" ht="16" thickBot="1" x14ac:dyDescent="0.4">
      <c r="A51" s="169" t="s">
        <v>42</v>
      </c>
      <c r="B51" s="170"/>
      <c r="C51" s="170"/>
      <c r="D51" s="170"/>
      <c r="E51" s="170"/>
      <c r="F51" s="170"/>
      <c r="G51" s="170"/>
      <c r="H51" s="94">
        <f ca="1">SUM(H9,H18,H36,H50)</f>
        <v>169.65</v>
      </c>
    </row>
    <row r="52" spans="1:8" s="23" customFormat="1" x14ac:dyDescent="0.35">
      <c r="D52" s="50"/>
      <c r="E52" s="50"/>
      <c r="F52" s="50"/>
      <c r="G52" s="50"/>
    </row>
    <row r="53" spans="1:8" s="23" customFormat="1" hidden="1" x14ac:dyDescent="0.35">
      <c r="C53" s="24"/>
      <c r="D53" s="50"/>
      <c r="E53" s="50"/>
      <c r="F53" s="50"/>
      <c r="G53" s="50"/>
    </row>
    <row r="54" spans="1:8" s="23" customFormat="1" hidden="1" x14ac:dyDescent="0.35">
      <c r="B54" s="23" t="s">
        <v>249</v>
      </c>
      <c r="C54" s="23" t="str">
        <f>IF(H2&lt;13,"beide",F1)</f>
        <v>weiblich</v>
      </c>
      <c r="D54" s="50"/>
      <c r="E54" s="50"/>
      <c r="F54" s="50"/>
      <c r="G54" s="50"/>
    </row>
    <row r="55" spans="1:8" s="23" customFormat="1" hidden="1" x14ac:dyDescent="0.35">
      <c r="B55" s="23" t="s">
        <v>3</v>
      </c>
      <c r="C55" s="23">
        <f>IF(OR(H2=8,H2=11),H2,IF(H2&lt;11,"9_10",IF(H2&lt;14,"12_13",IF(H2&lt;16,"14_15",IF(H2&lt;18,"16_17",18)))))</f>
        <v>18</v>
      </c>
      <c r="D55" s="50"/>
      <c r="E55" s="50"/>
      <c r="F55" s="50"/>
      <c r="G55" s="50"/>
    </row>
    <row r="56" spans="1:8" s="23" customFormat="1" hidden="1" x14ac:dyDescent="0.35">
      <c r="D56" s="50"/>
      <c r="E56" s="50"/>
      <c r="F56" s="50"/>
      <c r="G56" s="50"/>
    </row>
    <row r="57" spans="1:8" s="23" customFormat="1" hidden="1" x14ac:dyDescent="0.35">
      <c r="B57" s="23" t="s">
        <v>251</v>
      </c>
      <c r="C57" s="23" t="str">
        <f>"TBN_"&amp;C54&amp;"_"&amp;C55</f>
        <v>TBN_weiblich_18</v>
      </c>
      <c r="D57" s="50"/>
      <c r="E57" s="50"/>
      <c r="F57" s="50"/>
      <c r="G57" s="50"/>
    </row>
    <row r="58" spans="1:8" s="23" customFormat="1" hidden="1" x14ac:dyDescent="0.35">
      <c r="C58" s="23" t="str">
        <f>C57&amp;"[Beschreibung]"</f>
        <v>TBN_weiblich_18[Beschreibung]</v>
      </c>
      <c r="D58" s="50"/>
      <c r="E58" s="50"/>
      <c r="F58" s="50"/>
      <c r="G58" s="50"/>
    </row>
    <row r="59" spans="1:8" s="23" customFormat="1" hidden="1" x14ac:dyDescent="0.35">
      <c r="D59" s="50"/>
      <c r="E59" s="50"/>
      <c r="F59" s="50"/>
      <c r="G59" s="50"/>
    </row>
    <row r="60" spans="1:8" s="23" customFormat="1" hidden="1" x14ac:dyDescent="0.35">
      <c r="B60" s="23" t="s">
        <v>147</v>
      </c>
      <c r="C60" s="23" t="str">
        <f>"TN_"&amp;C54&amp;"_"&amp;C55</f>
        <v>TN_weiblich_18</v>
      </c>
      <c r="D60" s="50"/>
      <c r="E60" s="50"/>
      <c r="F60" s="50"/>
      <c r="G60" s="50"/>
    </row>
    <row r="61" spans="1:8" s="23" customFormat="1" hidden="1" x14ac:dyDescent="0.35">
      <c r="C61" s="23" t="str">
        <f>C60&amp;"[Beschreibung]"</f>
        <v>TN_weiblich_18[Beschreibung]</v>
      </c>
      <c r="D61" s="50"/>
      <c r="E61" s="50"/>
      <c r="F61" s="50"/>
      <c r="G61" s="50"/>
    </row>
    <row r="62" spans="1:8" s="23" customFormat="1" hidden="1" x14ac:dyDescent="0.35">
      <c r="D62" s="50"/>
      <c r="E62" s="50"/>
      <c r="F62" s="50"/>
      <c r="G62" s="50"/>
    </row>
    <row r="63" spans="1:8" s="23" customFormat="1" hidden="1" x14ac:dyDescent="0.35">
      <c r="B63" s="23" t="s">
        <v>17</v>
      </c>
      <c r="C63" s="23" t="str">
        <f>"TV_"&amp;F1&amp;"_"&amp;C55</f>
        <v>TV_weiblich_18</v>
      </c>
      <c r="D63" s="50"/>
      <c r="E63" s="50"/>
      <c r="F63" s="50"/>
      <c r="G63" s="50"/>
    </row>
    <row r="64" spans="1:8" s="23" customFormat="1" hidden="1" x14ac:dyDescent="0.35">
      <c r="D64" s="50"/>
      <c r="E64" s="50"/>
      <c r="F64" s="50"/>
      <c r="G64" s="50"/>
    </row>
    <row r="65" spans="2:7" s="23" customFormat="1" hidden="1" x14ac:dyDescent="0.35">
      <c r="B65" s="23" t="s">
        <v>252</v>
      </c>
      <c r="C65" s="23" t="str">
        <f>"BKÜ"&amp;IF(H2=9,"_9",IF(H2&lt;12,"_10_11",IF(H2&lt;14,"_12_13",IF(H2&lt;17,"_14_16","_17"))))</f>
        <v>BKÜ_17</v>
      </c>
      <c r="D65" s="50"/>
      <c r="E65" s="50"/>
      <c r="F65" s="50"/>
      <c r="G65" s="50"/>
    </row>
    <row r="66" spans="2:7" s="23" customFormat="1" hidden="1" x14ac:dyDescent="0.35">
      <c r="D66" s="50"/>
      <c r="E66" s="50"/>
      <c r="F66" s="50"/>
      <c r="G66" s="50"/>
    </row>
    <row r="67" spans="2:7" s="23" customFormat="1" hidden="1" x14ac:dyDescent="0.35">
      <c r="B67" s="23" t="s">
        <v>250</v>
      </c>
      <c r="C67" s="23" t="str">
        <f>IF(H2&lt;17,"beide",F1)</f>
        <v>weiblich</v>
      </c>
      <c r="D67" s="50"/>
      <c r="E67" s="50"/>
      <c r="F67" s="50"/>
      <c r="G67" s="50"/>
    </row>
    <row r="68" spans="2:7" s="23" customFormat="1" hidden="1" x14ac:dyDescent="0.35">
      <c r="B68" s="23" t="s">
        <v>17</v>
      </c>
      <c r="C68" s="23" t="str">
        <f>"TV_"&amp;C67&amp;"_"&amp;C55</f>
        <v>TV_weiblich_18</v>
      </c>
      <c r="D68" s="50"/>
      <c r="E68" s="50"/>
      <c r="F68" s="50"/>
      <c r="G68" s="50"/>
    </row>
    <row r="69" spans="2:7" x14ac:dyDescent="0.35"/>
    <row r="70" spans="2:7" x14ac:dyDescent="0.35"/>
  </sheetData>
  <sheetProtection algorithmName="SHA-512" hashValue="k4qKYcSSeKWTN9eRZu0NmDDM7UtG6KuRr+n0z8dueCeY37DINUODe+hgvGJrz/+vAJRWO23RR0Ts0DC/l3zQMw==" saltValue="2LU2hHgAqvGHl9VvpdeTYA==" spinCount="100000" sheet="1" objects="1" scenarios="1" selectLockedCells="1"/>
  <protectedRanges>
    <protectedRange sqref="H1:H2 F1:F2 B1:B2" name="Athletendaten"/>
    <protectedRange sqref="F38:F49 C20:F35 D69:E440 C69:C441 F4:F8 C38:E68 C11:E16 F11:F17" name="Werte und Varianten"/>
    <protectedRange algorithmName="SHA-512" hashValue="EtPG7jm6pk6JVG08ToKZL4Sto4PS6TOUsygvFmj6DTfcGnX6DwKdfjTEg/2X1Hwnu/CwfNhBUSnXKs/oLqcupQ==" saltValue="sPse4fdTsI5OFESYvRIl8Q==" spinCount="100000" sqref="H4:H8 H38:H49 H20:H35 H11:H17" name="Punktzahlen"/>
  </protectedRanges>
  <mergeCells count="44">
    <mergeCell ref="A50:G50"/>
    <mergeCell ref="A51:G51"/>
    <mergeCell ref="A44:D44"/>
    <mergeCell ref="A45:D45"/>
    <mergeCell ref="A46:D46"/>
    <mergeCell ref="A47:D47"/>
    <mergeCell ref="A48:D48"/>
    <mergeCell ref="A49:D49"/>
    <mergeCell ref="A43:D43"/>
    <mergeCell ref="A32:B32"/>
    <mergeCell ref="A33:B33"/>
    <mergeCell ref="A34:B34"/>
    <mergeCell ref="A35:B35"/>
    <mergeCell ref="A36:G36"/>
    <mergeCell ref="A37:D37"/>
    <mergeCell ref="A38:D38"/>
    <mergeCell ref="A39:D39"/>
    <mergeCell ref="A40:D40"/>
    <mergeCell ref="A41:D41"/>
    <mergeCell ref="A42:D42"/>
    <mergeCell ref="A31:B31"/>
    <mergeCell ref="A13:E13"/>
    <mergeCell ref="A14:E14"/>
    <mergeCell ref="A15:E15"/>
    <mergeCell ref="A16:E16"/>
    <mergeCell ref="A18:G18"/>
    <mergeCell ref="A19:C19"/>
    <mergeCell ref="A20:B20"/>
    <mergeCell ref="A21:B21"/>
    <mergeCell ref="A22:B22"/>
    <mergeCell ref="A23:B23"/>
    <mergeCell ref="A30:B30"/>
    <mergeCell ref="A12:E12"/>
    <mergeCell ref="B1:E1"/>
    <mergeCell ref="B2:F2"/>
    <mergeCell ref="A3:E3"/>
    <mergeCell ref="A4:E4"/>
    <mergeCell ref="A5:E5"/>
    <mergeCell ref="A6:E6"/>
    <mergeCell ref="A7:E7"/>
    <mergeCell ref="A8:E8"/>
    <mergeCell ref="A9:G9"/>
    <mergeCell ref="A10:E10"/>
    <mergeCell ref="A11:E11"/>
  </mergeCells>
  <conditionalFormatting sqref="F46:F49">
    <cfRule type="expression" dxfId="231" priority="3">
      <formula>$A46=" "</formula>
    </cfRule>
  </conditionalFormatting>
  <conditionalFormatting sqref="B24:B29 C21:E29">
    <cfRule type="expression" dxfId="230" priority="2">
      <formula>$A21="entfällt"</formula>
    </cfRule>
    <cfRule type="expression" dxfId="229" priority="4">
      <formula>$H$2&gt;14</formula>
    </cfRule>
  </conditionalFormatting>
  <conditionalFormatting sqref="B24:B29">
    <cfRule type="expression" dxfId="228" priority="1">
      <formula>AND($A24="TN",$C24&lt;&gt;"")</formula>
    </cfRule>
  </conditionalFormatting>
  <dataValidations count="19">
    <dataValidation type="decimal" errorStyle="warning" allowBlank="1" showInputMessage="1" showErrorMessage="1" error="Eingegebener Abzug überschreitet maximal zulässigen Abzug, Wert bitte überprüfen!" sqref="F21:F35" xr:uid="{8E2AB101-45A7-47B2-A600-0758E184B1BA}">
      <formula1>0</formula1>
      <formula2>$E21</formula2>
    </dataValidation>
    <dataValidation type="list" allowBlank="1" showInputMessage="1" showErrorMessage="1" sqref="C20" xr:uid="{22CF775F-A62F-4A2F-9BB5-323AEFB20B32}">
      <formula1>"Lichtschranke,Druckmessplatte"</formula1>
    </dataValidation>
    <dataValidation type="whole" allowBlank="1" showInputMessage="1" showErrorMessage="1" errorTitle="Falsche Eingabe" error="Bitte Wert prüfen" sqref="D17" xr:uid="{94663257-B535-48E0-82C7-11A348E3C1DF}">
      <formula1>1</formula1>
      <formula2>13</formula2>
    </dataValidation>
    <dataValidation type="list" allowBlank="1" showInputMessage="1" sqref="C24:C29" xr:uid="{BFCEF34A-D437-40CA-BC7F-700F2EFE9FE5}">
      <formula1>INDIRECT($C$61)</formula1>
    </dataValidation>
    <dataValidation type="list" allowBlank="1" showInputMessage="1" sqref="C21:C23" xr:uid="{320B280C-EF8D-4F21-8022-D326D18DF2BA}">
      <formula1>INDIRECT($C$58)</formula1>
    </dataValidation>
    <dataValidation allowBlank="1" showInputMessage="1" showErrorMessage="1" prompt="Anzahl der Wiederholungen" sqref="F11" xr:uid="{F6D7A3DD-FE3C-41E4-9B52-CD11CC9EA8BB}"/>
    <dataValidation type="whole" allowBlank="1" showInputMessage="1" showErrorMessage="1" prompt="Abstand von der Oberkante des Turnhockers zur schlechtesten Fingerspitze in cm" sqref="F6" xr:uid="{6F0DA637-1311-4FC5-963D-D0E6C2923780}">
      <formula1>-50</formula1>
      <formula2>50</formula2>
    </dataValidation>
    <dataValidation type="list" allowBlank="1" showInputMessage="1" showErrorMessage="1" prompt="Punktzahl nach Vergleich mit Bild" sqref="F5" xr:uid="{393758ED-2110-4614-8373-A8D5B4E051B1}">
      <formula1>"0,2,6,10"</formula1>
    </dataValidation>
    <dataValidation type="whole" allowBlank="1" showErrorMessage="1" errorTitle="Falsche Eingabe" error="Bitte Wert prüfen" prompt="Höchste erreichte Stufe" sqref="F17" xr:uid="{4FDCDA08-EBD1-4788-BAFD-FCAB4837176B}">
      <formula1>1</formula1>
      <formula2>11</formula2>
    </dataValidation>
    <dataValidation allowBlank="1" sqref="D20:E20" xr:uid="{9C4AE878-AA77-495F-860F-5FCA3BA0A6D7}"/>
    <dataValidation type="decimal" errorStyle="warning" allowBlank="1" showInputMessage="1" showErrorMessage="1" error="Abzug höher als Wert des Elements, bitte überprüfen!" prompt="Abzug" sqref="F38:F49" xr:uid="{CB73B539-7F05-427A-8591-C511206CDEBB}">
      <formula1>0</formula1>
      <formula2>$E38</formula2>
    </dataValidation>
    <dataValidation type="whole" allowBlank="1" showInputMessage="1" showErrorMessage="1" prompt="AKs 9 - 13: Übersprungene Kästchen_x000a__x000a_AKs 14 - 21: Anzahl Saltos" sqref="F15" xr:uid="{7122215C-BAD0-4D32-82CA-25934E89445E}">
      <formula1>0</formula1>
      <formula2>50</formula2>
    </dataValidation>
    <dataValidation type="list" allowBlank="1" showInputMessage="1" showErrorMessage="1" sqref="F1" xr:uid="{F44D8717-8E54-45F9-A312-A4D6547645E2}">
      <formula1>"männlich,weiblich"</formula1>
    </dataValidation>
    <dataValidation type="whole" allowBlank="1" showInputMessage="1" showErrorMessage="1" sqref="H4:H8" xr:uid="{B4F43BFA-68E5-46B7-B2E9-670FE41D67BF}">
      <formula1>0</formula1>
      <formula2>10</formula2>
    </dataValidation>
    <dataValidation type="whole" allowBlank="1" showInputMessage="1" showErrorMessage="1" prompt="Haltezeit in Sekunden" sqref="F13" xr:uid="{C0014006-887D-4430-B4A5-E7FB40823AC6}">
      <formula1>0</formula1>
      <formula2>200</formula2>
    </dataValidation>
    <dataValidation type="whole" allowBlank="1" showInputMessage="1" showErrorMessage="1" prompt="Haltezeit in Sekunden" sqref="F16" xr:uid="{73D6F711-27B2-4FF8-AB0D-B29F10E79741}">
      <formula1>0</formula1>
      <formula2>100</formula2>
    </dataValidation>
    <dataValidation type="whole" allowBlank="1" showInputMessage="1" showErrorMessage="1" prompt="Anzahl der Wiederholungen" sqref="F14 F12" xr:uid="{086FD594-8411-453F-94D0-FCF3EB84497D}">
      <formula1>0</formula1>
      <formula2>50</formula2>
    </dataValidation>
    <dataValidation type="list" operator="equal" allowBlank="1" showInputMessage="1" showErrorMessage="1" prompt="Punktzahl nach Vergleich mit Bild" sqref="F4" xr:uid="{D796D9CC-3A1F-4C56-93D8-B4F03DFC835D}">
      <formula1>"0,2,6,10"</formula1>
    </dataValidation>
    <dataValidation type="decimal" errorStyle="warning" showDropDown="1" showErrorMessage="1" error="Wert unrealistisch hoch, bitte Eingabe überprüfen" promptTitle="Vorsicht" sqref="F20" xr:uid="{5AB21E85-0A64-4DF7-B6D0-0EC5A13BAE35}">
      <formula1>0</formula1>
      <formula2>30</formula2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Bitte Werte aus Dropdown auswählen" prompt="Abstand vom Boden laut Schablone" xr:uid="{7E85CAFA-6F2D-424F-8FBA-7E4BBA420D8E}">
          <x14:formula1>
            <xm:f>Punktetabellen!$A$3:$A$6</xm:f>
          </x14:formula1>
          <xm:sqref>F7:F8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8D20E-6DC8-4127-A24B-D5B73DC9D3D9}">
  <sheetPr codeName="Tabelle23">
    <tabColor indexed="47"/>
    <pageSetUpPr fitToPage="1"/>
  </sheetPr>
  <dimension ref="A1:J70"/>
  <sheetViews>
    <sheetView zoomScale="85" zoomScaleNormal="85" workbookViewId="0">
      <pane ySplit="2" topLeftCell="A18" activePane="bottomLeft" state="frozen"/>
      <selection sqref="A1:H1"/>
      <selection pane="bottomLeft" activeCell="F16" sqref="F16"/>
    </sheetView>
  </sheetViews>
  <sheetFormatPr baseColWidth="10" defaultColWidth="0" defaultRowHeight="14.5" zeroHeight="1" outlineLevelRow="1" x14ac:dyDescent="0.35"/>
  <cols>
    <col min="1" max="1" width="11.453125" customWidth="1"/>
    <col min="2" max="2" width="12.1796875" customWidth="1"/>
    <col min="3" max="3" width="44.81640625" bestFit="1" customWidth="1"/>
    <col min="4" max="5" width="11.453125" style="148" customWidth="1"/>
    <col min="6" max="6" width="16.1796875" style="148" bestFit="1" customWidth="1"/>
    <col min="7" max="7" width="13.81640625" style="148" customWidth="1"/>
    <col min="8" max="8" width="11.453125" customWidth="1"/>
    <col min="9" max="9" width="6.1796875" style="23" hidden="1" customWidth="1"/>
    <col min="10" max="10" width="0" hidden="1" customWidth="1"/>
    <col min="11" max="16384" width="11.453125" hidden="1"/>
  </cols>
  <sheetData>
    <row r="1" spans="1:8" ht="15.5" x14ac:dyDescent="0.35">
      <c r="A1" s="16" t="s">
        <v>1</v>
      </c>
      <c r="B1" s="186" t="s">
        <v>372</v>
      </c>
      <c r="C1" s="187"/>
      <c r="D1" s="187"/>
      <c r="E1" s="188"/>
      <c r="F1" s="51" t="s">
        <v>97</v>
      </c>
      <c r="G1" s="61" t="s">
        <v>24</v>
      </c>
      <c r="H1" s="63">
        <v>2004</v>
      </c>
    </row>
    <row r="2" spans="1:8" ht="16" thickBot="1" x14ac:dyDescent="0.4">
      <c r="A2" s="17" t="s">
        <v>4</v>
      </c>
      <c r="B2" s="198" t="s">
        <v>370</v>
      </c>
      <c r="C2" s="199"/>
      <c r="D2" s="199"/>
      <c r="E2" s="199"/>
      <c r="F2" s="200"/>
      <c r="G2" s="62" t="s">
        <v>3</v>
      </c>
      <c r="H2" s="64">
        <f>2022-H1</f>
        <v>18</v>
      </c>
    </row>
    <row r="3" spans="1:8" ht="15" outlineLevel="1" thickBot="1" x14ac:dyDescent="0.4">
      <c r="A3" s="189" t="s">
        <v>26</v>
      </c>
      <c r="B3" s="190"/>
      <c r="C3" s="190"/>
      <c r="D3" s="190"/>
      <c r="E3" s="191"/>
      <c r="F3" s="46" t="s">
        <v>27</v>
      </c>
      <c r="G3" s="47" t="s">
        <v>28</v>
      </c>
      <c r="H3" s="22" t="s">
        <v>234</v>
      </c>
    </row>
    <row r="4" spans="1:8" outlineLevel="1" x14ac:dyDescent="0.35">
      <c r="A4" s="192" t="s">
        <v>30</v>
      </c>
      <c r="B4" s="193"/>
      <c r="C4" s="193"/>
      <c r="D4" s="193"/>
      <c r="E4" s="194"/>
      <c r="F4" s="25">
        <v>10</v>
      </c>
      <c r="G4" s="55" t="s">
        <v>32</v>
      </c>
      <c r="H4" s="34">
        <f>F4</f>
        <v>10</v>
      </c>
    </row>
    <row r="5" spans="1:8" outlineLevel="1" x14ac:dyDescent="0.35">
      <c r="A5" s="195" t="s">
        <v>85</v>
      </c>
      <c r="B5" s="196"/>
      <c r="C5" s="196"/>
      <c r="D5" s="196"/>
      <c r="E5" s="197"/>
      <c r="F5" s="14">
        <v>10</v>
      </c>
      <c r="G5" s="56" t="s">
        <v>32</v>
      </c>
      <c r="H5" s="35">
        <f>F5</f>
        <v>10</v>
      </c>
    </row>
    <row r="6" spans="1:8" outlineLevel="1" x14ac:dyDescent="0.35">
      <c r="A6" s="195" t="s">
        <v>33</v>
      </c>
      <c r="B6" s="196"/>
      <c r="C6" s="196"/>
      <c r="D6" s="196"/>
      <c r="E6" s="197"/>
      <c r="F6" s="14">
        <v>20</v>
      </c>
      <c r="G6" s="56" t="s">
        <v>31</v>
      </c>
      <c r="H6" s="35">
        <f>IF(F6="",0,VLOOKUP(F6,Punktetabellen!A10:B15,2,1))</f>
        <v>10</v>
      </c>
    </row>
    <row r="7" spans="1:8" outlineLevel="1" x14ac:dyDescent="0.35">
      <c r="A7" s="195" t="s">
        <v>34</v>
      </c>
      <c r="B7" s="196"/>
      <c r="C7" s="196"/>
      <c r="D7" s="196"/>
      <c r="E7" s="197"/>
      <c r="F7" s="14">
        <v>0</v>
      </c>
      <c r="G7" s="56" t="s">
        <v>31</v>
      </c>
      <c r="H7" s="35">
        <f>IF(F7="",0,VLOOKUP(F7,Punktetabellen!A3:B6,2,0))</f>
        <v>5</v>
      </c>
    </row>
    <row r="8" spans="1:8" ht="15" outlineLevel="1" thickBot="1" x14ac:dyDescent="0.4">
      <c r="A8" s="204" t="s">
        <v>35</v>
      </c>
      <c r="B8" s="205"/>
      <c r="C8" s="205"/>
      <c r="D8" s="205"/>
      <c r="E8" s="206"/>
      <c r="F8" s="41">
        <v>0</v>
      </c>
      <c r="G8" s="57" t="s">
        <v>31</v>
      </c>
      <c r="H8" s="36">
        <f>IF(F8="",0,VLOOKUP(F8,Punktetabellen!A3:B6,2,0))</f>
        <v>5</v>
      </c>
    </row>
    <row r="9" spans="1:8" ht="15" thickBot="1" x14ac:dyDescent="0.4">
      <c r="A9" s="210" t="s">
        <v>36</v>
      </c>
      <c r="B9" s="211"/>
      <c r="C9" s="211"/>
      <c r="D9" s="211"/>
      <c r="E9" s="211"/>
      <c r="F9" s="211"/>
      <c r="G9" s="211"/>
      <c r="H9" s="48">
        <f>SUM(H4:H8)</f>
        <v>40</v>
      </c>
    </row>
    <row r="10" spans="1:8" ht="15" outlineLevel="1" thickBot="1" x14ac:dyDescent="0.4">
      <c r="A10" s="189" t="s">
        <v>26</v>
      </c>
      <c r="B10" s="190"/>
      <c r="C10" s="190"/>
      <c r="D10" s="190"/>
      <c r="E10" s="191"/>
      <c r="F10" s="46" t="s">
        <v>27</v>
      </c>
      <c r="G10" s="47" t="s">
        <v>28</v>
      </c>
      <c r="H10" s="22" t="s">
        <v>234</v>
      </c>
    </row>
    <row r="11" spans="1:8" outlineLevel="1" x14ac:dyDescent="0.35">
      <c r="A11" s="207" t="s">
        <v>37</v>
      </c>
      <c r="B11" s="208"/>
      <c r="C11" s="208"/>
      <c r="D11" s="208"/>
      <c r="E11" s="209"/>
      <c r="F11" s="26">
        <v>7</v>
      </c>
      <c r="G11" s="58" t="s">
        <v>31</v>
      </c>
      <c r="H11" s="37">
        <f>IF($F11="",0,VLOOKUP($F11,Pkte_Klimmzug[],$H$2,1))</f>
        <v>2</v>
      </c>
    </row>
    <row r="12" spans="1:8" outlineLevel="1" x14ac:dyDescent="0.35">
      <c r="A12" s="201" t="s">
        <v>38</v>
      </c>
      <c r="B12" s="202"/>
      <c r="C12" s="202"/>
      <c r="D12" s="202"/>
      <c r="E12" s="203"/>
      <c r="F12" s="27">
        <v>3</v>
      </c>
      <c r="G12" s="59" t="s">
        <v>31</v>
      </c>
      <c r="H12" s="38">
        <f>IF($F12="",0,VLOOKUP($F12,Pkte_Beinheben[],$H$2,1))</f>
        <v>1</v>
      </c>
    </row>
    <row r="13" spans="1:8" outlineLevel="1" x14ac:dyDescent="0.35">
      <c r="A13" s="201" t="s">
        <v>88</v>
      </c>
      <c r="B13" s="202"/>
      <c r="C13" s="202"/>
      <c r="D13" s="202"/>
      <c r="E13" s="203"/>
      <c r="F13" s="27">
        <v>110</v>
      </c>
      <c r="G13" s="59" t="s">
        <v>31</v>
      </c>
      <c r="H13" s="38">
        <f>IF($F13="",0,VLOOKUP($F13,Pkte_Flieger[],$H$2,1))</f>
        <v>10</v>
      </c>
    </row>
    <row r="14" spans="1:8" outlineLevel="1" x14ac:dyDescent="0.35">
      <c r="A14" s="201" t="s">
        <v>39</v>
      </c>
      <c r="B14" s="202"/>
      <c r="C14" s="202"/>
      <c r="D14" s="202"/>
      <c r="E14" s="203"/>
      <c r="F14" s="27">
        <v>29</v>
      </c>
      <c r="G14" s="59" t="s">
        <v>31</v>
      </c>
      <c r="H14" s="38">
        <f>IF($F14="",0,VLOOKUP($F14,Pkte_Rollenverbindung[],$H$2,1))</f>
        <v>10</v>
      </c>
    </row>
    <row r="15" spans="1:8" outlineLevel="1" x14ac:dyDescent="0.35">
      <c r="A15" s="201" t="s">
        <v>89</v>
      </c>
      <c r="B15" s="202"/>
      <c r="C15" s="202"/>
      <c r="D15" s="202"/>
      <c r="E15" s="203"/>
      <c r="F15" s="27">
        <v>9</v>
      </c>
      <c r="G15" s="59" t="s">
        <v>31</v>
      </c>
      <c r="H15" s="38">
        <f>IF($F15="",0,VLOOKUP($F15,Pkte_Prellsprung[],$H$2,1))</f>
        <v>9</v>
      </c>
    </row>
    <row r="16" spans="1:8" outlineLevel="1" x14ac:dyDescent="0.35">
      <c r="A16" s="201" t="s">
        <v>90</v>
      </c>
      <c r="B16" s="202"/>
      <c r="C16" s="202"/>
      <c r="D16" s="202"/>
      <c r="E16" s="203"/>
      <c r="F16" s="28">
        <v>30</v>
      </c>
      <c r="G16" s="59" t="s">
        <v>31</v>
      </c>
      <c r="H16" s="38">
        <f>IF($F16="",0,VLOOKUP($F16,Pkte_Handstand[],$H$2,1))</f>
        <v>10</v>
      </c>
    </row>
    <row r="17" spans="1:8" ht="15" outlineLevel="1" thickBot="1" x14ac:dyDescent="0.4">
      <c r="A17" s="112" t="s">
        <v>93</v>
      </c>
      <c r="B17" s="113"/>
      <c r="C17" s="114" t="s">
        <v>269</v>
      </c>
      <c r="D17" s="29">
        <v>9</v>
      </c>
      <c r="E17" s="115" t="s">
        <v>270</v>
      </c>
      <c r="F17" s="29">
        <v>5</v>
      </c>
      <c r="G17" s="60" t="s">
        <v>31</v>
      </c>
      <c r="H17" s="39">
        <f>IF($F17="",0,IF($F$1="weiblich",VLOOKUP((100*$D17+$F17),Pkte_Shuttle_W[],$H$2,1),VLOOKUP((100*$D17+$F17),Pkte_Shuttle_M[],$H$2,1)))</f>
        <v>7</v>
      </c>
    </row>
    <row r="18" spans="1:8" ht="15" thickBot="1" x14ac:dyDescent="0.4">
      <c r="A18" s="161" t="s">
        <v>40</v>
      </c>
      <c r="B18" s="162"/>
      <c r="C18" s="162"/>
      <c r="D18" s="162"/>
      <c r="E18" s="162"/>
      <c r="F18" s="162"/>
      <c r="G18" s="162"/>
      <c r="H18" s="48">
        <f>SUM(H11:H17)</f>
        <v>49</v>
      </c>
    </row>
    <row r="19" spans="1:8" ht="15" outlineLevel="1" thickBot="1" x14ac:dyDescent="0.4">
      <c r="A19" s="159" t="s">
        <v>26</v>
      </c>
      <c r="B19" s="160"/>
      <c r="C19" s="160"/>
      <c r="D19" s="85" t="s">
        <v>235</v>
      </c>
      <c r="E19" s="85" t="s">
        <v>238</v>
      </c>
      <c r="F19" s="85" t="s">
        <v>236</v>
      </c>
      <c r="G19" s="86" t="s">
        <v>28</v>
      </c>
      <c r="H19" s="49" t="s">
        <v>234</v>
      </c>
    </row>
    <row r="20" spans="1:8" outlineLevel="1" x14ac:dyDescent="0.35">
      <c r="A20" s="167" t="s">
        <v>148</v>
      </c>
      <c r="B20" s="168"/>
      <c r="C20" s="116" t="str">
        <f>Infos!A10</f>
        <v>Druckmessplatte</v>
      </c>
      <c r="D20" s="90">
        <f>IF(F1="männlich",VLOOKUP(H2,Standsprünge!A3:C15,3,0),VLOOKUP(H2,Standsprünge!A3:B15,2,0))+IF(C20="Druckmessplatte",0)</f>
        <v>16.100000000000001</v>
      </c>
      <c r="E20" s="90"/>
      <c r="F20" s="67">
        <v>16.355</v>
      </c>
      <c r="G20" s="91" t="s">
        <v>149</v>
      </c>
      <c r="H20" s="88">
        <f>IF(F20="",0,(F20-D20)*10)</f>
        <v>2.5499999999999901</v>
      </c>
    </row>
    <row r="21" spans="1:8" outlineLevel="1" x14ac:dyDescent="0.35">
      <c r="A21" s="165" t="str">
        <f>IF(H2&gt;15,"entfällt","TBN")</f>
        <v>entfällt</v>
      </c>
      <c r="B21" s="166"/>
      <c r="C21" s="77"/>
      <c r="D21" s="78" t="str">
        <f ca="1">IF(C21="","",VLOOKUP(C21,INDIRECT($C$57),2,0))</f>
        <v/>
      </c>
      <c r="E21" s="78" t="str">
        <f ca="1">IF(C21="","",VLOOKUP(C21,INDIRECT($C$57),3,0))</f>
        <v/>
      </c>
      <c r="F21" s="42"/>
      <c r="G21" s="71" t="str">
        <f>IF(H2&gt;16,"entfällt","Wert - Abzug")</f>
        <v>entfällt</v>
      </c>
      <c r="H21" s="66">
        <f>IF(A21="entfällt",0,IF(F21="",0,D21-F21))</f>
        <v>0</v>
      </c>
    </row>
    <row r="22" spans="1:8" outlineLevel="1" x14ac:dyDescent="0.35">
      <c r="A22" s="165" t="str">
        <f>IF(H2&gt;15,"entfällt","TBN")</f>
        <v>entfällt</v>
      </c>
      <c r="B22" s="166"/>
      <c r="C22" s="77"/>
      <c r="D22" s="78" t="str">
        <f ca="1">IF(C22="","",VLOOKUP(C22,INDIRECT($C$57),2,0))</f>
        <v/>
      </c>
      <c r="E22" s="78" t="str">
        <f ca="1">IF(C22="","",VLOOKUP(C22,INDIRECT($C$57),3,0))</f>
        <v/>
      </c>
      <c r="F22" s="42"/>
      <c r="G22" s="71" t="str">
        <f>IF(H2&gt;16,"entfällt","Wert - Abzug")</f>
        <v>entfällt</v>
      </c>
      <c r="H22" s="66">
        <f t="shared" ref="H22:H28" si="0">IF(A22="entfällt",0,IF(F22="",0,D22-F22))</f>
        <v>0</v>
      </c>
    </row>
    <row r="23" spans="1:8" outlineLevel="1" x14ac:dyDescent="0.35">
      <c r="A23" s="165" t="str">
        <f>IF(H2&gt;11,"entfällt","TBN")</f>
        <v>entfällt</v>
      </c>
      <c r="B23" s="166"/>
      <c r="C23" s="77"/>
      <c r="D23" s="78" t="str">
        <f ca="1">IF(C23="","",VLOOKUP(C23,INDIRECT($C$57),2,0))</f>
        <v/>
      </c>
      <c r="E23" s="78" t="str">
        <f ca="1">IF(C23="","",VLOOKUP(C23,INDIRECT($C$57),3,0))</f>
        <v/>
      </c>
      <c r="F23" s="42"/>
      <c r="G23" s="71" t="str">
        <f>IF(H2&gt;16,"entfällt","Wert - Abzug")</f>
        <v>entfällt</v>
      </c>
      <c r="H23" s="66">
        <f t="shared" si="0"/>
        <v>0</v>
      </c>
    </row>
    <row r="24" spans="1:8" outlineLevel="1" x14ac:dyDescent="0.35">
      <c r="A24" s="110" t="s">
        <v>147</v>
      </c>
      <c r="B24" s="111"/>
      <c r="C24" s="77" t="s">
        <v>383</v>
      </c>
      <c r="D24" s="78">
        <v>15</v>
      </c>
      <c r="E24" s="78">
        <v>6</v>
      </c>
      <c r="F24" s="42">
        <v>2</v>
      </c>
      <c r="G24" s="71" t="s">
        <v>146</v>
      </c>
      <c r="H24" s="66">
        <f t="shared" si="0"/>
        <v>13</v>
      </c>
    </row>
    <row r="25" spans="1:8" outlineLevel="1" x14ac:dyDescent="0.35">
      <c r="A25" s="110" t="s">
        <v>147</v>
      </c>
      <c r="B25" s="111"/>
      <c r="C25" s="77" t="s">
        <v>64</v>
      </c>
      <c r="D25" s="78">
        <v>15</v>
      </c>
      <c r="E25" s="78">
        <v>6</v>
      </c>
      <c r="F25" s="42">
        <v>2</v>
      </c>
      <c r="G25" s="71" t="s">
        <v>146</v>
      </c>
      <c r="H25" s="66">
        <f t="shared" si="0"/>
        <v>13</v>
      </c>
    </row>
    <row r="26" spans="1:8" outlineLevel="1" x14ac:dyDescent="0.35">
      <c r="A26" s="110" t="s">
        <v>147</v>
      </c>
      <c r="B26" s="111"/>
      <c r="C26" s="77" t="s">
        <v>60</v>
      </c>
      <c r="D26" s="78">
        <v>14</v>
      </c>
      <c r="E26" s="78">
        <v>6</v>
      </c>
      <c r="F26" s="42">
        <v>4</v>
      </c>
      <c r="G26" s="71" t="s">
        <v>146</v>
      </c>
      <c r="H26" s="66">
        <f t="shared" si="0"/>
        <v>10</v>
      </c>
    </row>
    <row r="27" spans="1:8" outlineLevel="1" x14ac:dyDescent="0.35">
      <c r="A27" s="110" t="str">
        <f>IF(H2&gt;11,"TN","entfällt")</f>
        <v>TN</v>
      </c>
      <c r="B27" s="111"/>
      <c r="C27" s="77" t="s">
        <v>191</v>
      </c>
      <c r="D27" s="78">
        <v>14</v>
      </c>
      <c r="E27" s="78">
        <v>6</v>
      </c>
      <c r="F27" s="42">
        <v>4</v>
      </c>
      <c r="G27" s="71" t="str">
        <f>IF(H2&gt;12,"Wert - Abzug","entfällt")</f>
        <v>Wert - Abzug</v>
      </c>
      <c r="H27" s="66">
        <f t="shared" si="0"/>
        <v>10</v>
      </c>
    </row>
    <row r="28" spans="1:8" outlineLevel="1" x14ac:dyDescent="0.35">
      <c r="A28" s="110" t="str">
        <f>IF(H2&gt;15,"TN","entfällt")</f>
        <v>TN</v>
      </c>
      <c r="B28" s="111"/>
      <c r="C28" s="77" t="s">
        <v>193</v>
      </c>
      <c r="D28" s="78">
        <v>17</v>
      </c>
      <c r="E28" s="78">
        <v>6</v>
      </c>
      <c r="F28" s="42">
        <v>2</v>
      </c>
      <c r="G28" s="71" t="str">
        <f>IF(H2&gt;16,"Wert - Abzug","entfällt")</f>
        <v>Wert - Abzug</v>
      </c>
      <c r="H28" s="66">
        <f t="shared" si="0"/>
        <v>15</v>
      </c>
    </row>
    <row r="29" spans="1:8" outlineLevel="1" x14ac:dyDescent="0.35">
      <c r="A29" s="110" t="str">
        <f>IF(H2&gt;15,"TN","entfällt")</f>
        <v>TN</v>
      </c>
      <c r="B29" s="111"/>
      <c r="C29" s="77" t="s">
        <v>382</v>
      </c>
      <c r="D29" s="78">
        <v>15</v>
      </c>
      <c r="E29" s="78">
        <v>6</v>
      </c>
      <c r="F29" s="42">
        <v>4</v>
      </c>
      <c r="G29" s="71" t="str">
        <f>IF(H2&gt;16,"Wert - Abzug","entfällt")</f>
        <v>Wert - Abzug</v>
      </c>
      <c r="H29" s="66">
        <f>IF(A29="entfällt",0,IF(F29="",0,D29-F29))</f>
        <v>11</v>
      </c>
    </row>
    <row r="30" spans="1:8" outlineLevel="1" x14ac:dyDescent="0.35">
      <c r="A30" s="165" t="str">
        <f>IF($H$2&gt;10,"Verbindung Sprung 1","entfällt")</f>
        <v>Verbindung Sprung 1</v>
      </c>
      <c r="B30" s="166"/>
      <c r="C30" s="40" t="str">
        <f ca="1">IF(A30&lt;&gt;"entfällt",VLOOKUP(1,INDIRECT($C$68),2,0),"")</f>
        <v>803&lt;</v>
      </c>
      <c r="D30" s="40">
        <f ca="1">IF(A30&lt;&gt;"entfällt",VLOOKUP(1,INDIRECT($C$68),3,0),"")</f>
        <v>15</v>
      </c>
      <c r="E30" s="40">
        <f ca="1">IF(A30&lt;&gt;"entfällt",VLOOKUP(1,INDIRECT($C$68),4,0),"")</f>
        <v>3</v>
      </c>
      <c r="F30" s="42">
        <v>2</v>
      </c>
      <c r="G30" s="71" t="str">
        <f>IF(H2&gt;12,"Wert - Abzug","entfällt")</f>
        <v>Wert - Abzug</v>
      </c>
      <c r="H30" s="66"/>
    </row>
    <row r="31" spans="1:8" outlineLevel="1" x14ac:dyDescent="0.35">
      <c r="A31" s="165" t="str">
        <f>IF($H$2&gt;10,"Verbindung Sprung 2","entfällt")</f>
        <v>Verbindung Sprung 2</v>
      </c>
      <c r="B31" s="166"/>
      <c r="C31" s="40" t="str">
        <f ca="1">IF(A31&lt;&gt;"entfällt",VLOOKUP(2,INDIRECT($C$68),2,0),"")</f>
        <v>40&lt;</v>
      </c>
      <c r="D31" s="40">
        <f ca="1">IF(A31&lt;&gt;"entfällt",VLOOKUP(2,INDIRECT($C$68),3,0),"")</f>
        <v>6</v>
      </c>
      <c r="E31" s="40">
        <f ca="1">IF(A31&lt;&gt;"entfällt",VLOOKUP(2,INDIRECT($C$68),4,0),"")</f>
        <v>3</v>
      </c>
      <c r="F31" s="42">
        <v>2</v>
      </c>
      <c r="G31" s="71" t="str">
        <f>IF(H2&gt;12,"Wert - Abzug","entfällt")</f>
        <v>Wert - Abzug</v>
      </c>
      <c r="H31" s="66"/>
    </row>
    <row r="32" spans="1:8" outlineLevel="1" x14ac:dyDescent="0.35">
      <c r="A32" s="165" t="str">
        <f>IF($H$2&gt;10,"Verbindung Sprung 3","entfällt")</f>
        <v>Verbindung Sprung 3</v>
      </c>
      <c r="B32" s="166"/>
      <c r="C32" s="40" t="str">
        <f ca="1">IF(A32&lt;&gt;"entfällt",VLOOKUP(3,INDIRECT($C$68),2,0),"")</f>
        <v>801&lt;</v>
      </c>
      <c r="D32" s="40">
        <f ca="1">IF(A32&lt;&gt;"entfällt",VLOOKUP(3,INDIRECT($C$68),3,0),"")</f>
        <v>13</v>
      </c>
      <c r="E32" s="40">
        <f ca="1">IF(A32&lt;&gt;"entfällt",VLOOKUP(3,INDIRECT($C$68),4,0),"")</f>
        <v>3</v>
      </c>
      <c r="F32" s="42">
        <v>2</v>
      </c>
      <c r="G32" s="71" t="str">
        <f>IF(H2&gt;12,"Wert - Abzug","entfällt")</f>
        <v>Wert - Abzug</v>
      </c>
      <c r="H32" s="66"/>
    </row>
    <row r="33" spans="1:8" outlineLevel="1" x14ac:dyDescent="0.35">
      <c r="A33" s="165" t="str">
        <f>IF($H$2&gt;10,"Verbindung Sprung 4","entfällt")</f>
        <v>Verbindung Sprung 4</v>
      </c>
      <c r="B33" s="166"/>
      <c r="C33" s="40" t="str">
        <f ca="1">IF(A33&lt;&gt;"entfällt",VLOOKUP(4,INDIRECT($C$68),2,0),"")</f>
        <v>40/</v>
      </c>
      <c r="D33" s="40">
        <f ca="1">IF(A33&lt;&gt;"entfällt",VLOOKUP(4,INDIRECT($C$68),3,0),"")</f>
        <v>6</v>
      </c>
      <c r="E33" s="40">
        <f ca="1">IF(A33&lt;&gt;"entfällt",VLOOKUP(4,INDIRECT($C$68),4,0),"")</f>
        <v>3</v>
      </c>
      <c r="F33" s="42">
        <v>2</v>
      </c>
      <c r="G33" s="71" t="str">
        <f>IF(H2&gt;12,"Wert - Abzug","entfällt")</f>
        <v>Wert - Abzug</v>
      </c>
      <c r="H33" s="66"/>
    </row>
    <row r="34" spans="1:8" outlineLevel="1" x14ac:dyDescent="0.35">
      <c r="A34" s="165" t="str">
        <f>IF($H$2&gt;10,"Verbindung Sprung 5","entfällt")</f>
        <v>Verbindung Sprung 5</v>
      </c>
      <c r="B34" s="166"/>
      <c r="C34" s="40" t="str">
        <f ca="1">IF(A34&lt;&gt;"entfällt",VLOOKUP(5,INDIRECT($C$68),2,0),"")</f>
        <v>41/</v>
      </c>
      <c r="D34" s="40">
        <f ca="1">IF(A34&lt;&gt;"entfällt",VLOOKUP(5,INDIRECT($C$68),3,0),"")</f>
        <v>6</v>
      </c>
      <c r="E34" s="40">
        <f ca="1">IF(A34&lt;&gt;"entfällt",VLOOKUP(5,INDIRECT($C$68),4,0),"")</f>
        <v>3</v>
      </c>
      <c r="F34" s="42">
        <v>2</v>
      </c>
      <c r="G34" s="71" t="str">
        <f>IF(H2&gt;12,"Wert - Abzug","entfällt")</f>
        <v>Wert - Abzug</v>
      </c>
      <c r="H34" s="66"/>
    </row>
    <row r="35" spans="1:8" ht="15" outlineLevel="1" thickBot="1" x14ac:dyDescent="0.4">
      <c r="A35" s="171" t="str">
        <f>IF($H$2&gt;10,"Verbindung Sprung 6","entfällt")</f>
        <v>Verbindung Sprung 6</v>
      </c>
      <c r="B35" s="172"/>
      <c r="C35" s="68" t="str">
        <f ca="1">IF(A35&lt;&gt;"entfällt",VLOOKUP(6,INDIRECT($C$68),2,0),"")</f>
        <v>811°</v>
      </c>
      <c r="D35" s="68">
        <f ca="1">IF(A35&lt;&gt;"entfällt",VLOOKUP(6,INDIRECT($C$68),3,0),"")</f>
        <v>12</v>
      </c>
      <c r="E35" s="68">
        <f ca="1">IF(A35&lt;&gt;"entfällt",VLOOKUP(6,INDIRECT($C$68),4,0),"")</f>
        <v>3</v>
      </c>
      <c r="F35" s="69">
        <v>3</v>
      </c>
      <c r="G35" s="72" t="str">
        <f>IF(H2&gt;12,"Wert - Abzug","entfällt")</f>
        <v>Wert - Abzug</v>
      </c>
      <c r="H35" s="70">
        <f>30-F30-F31-F32-F33-F34-F35</f>
        <v>17</v>
      </c>
    </row>
    <row r="36" spans="1:8" ht="15" thickBot="1" x14ac:dyDescent="0.4">
      <c r="A36" s="173" t="s">
        <v>41</v>
      </c>
      <c r="B36" s="174"/>
      <c r="C36" s="174"/>
      <c r="D36" s="174"/>
      <c r="E36" s="174"/>
      <c r="F36" s="174"/>
      <c r="G36" s="175"/>
      <c r="H36" s="89">
        <f>SUM(H20:H35)</f>
        <v>91.549999999999983</v>
      </c>
    </row>
    <row r="37" spans="1:8" ht="15" outlineLevel="1" thickBot="1" x14ac:dyDescent="0.4">
      <c r="A37" s="181" t="s">
        <v>99</v>
      </c>
      <c r="B37" s="182"/>
      <c r="C37" s="182"/>
      <c r="D37" s="183"/>
      <c r="E37" s="85" t="s">
        <v>27</v>
      </c>
      <c r="F37" s="85" t="s">
        <v>237</v>
      </c>
      <c r="G37" s="86" t="s">
        <v>28</v>
      </c>
      <c r="H37" s="49" t="s">
        <v>234</v>
      </c>
    </row>
    <row r="38" spans="1:8" outlineLevel="1" x14ac:dyDescent="0.35">
      <c r="A38" s="179" t="str">
        <f ca="1">VLOOKUP(1,INDIRECT($C$65),2,0)</f>
        <v>Salto vorwärts gehockt aus dem Stand</v>
      </c>
      <c r="B38" s="180"/>
      <c r="C38" s="180"/>
      <c r="D38" s="180"/>
      <c r="E38" s="92">
        <f ca="1">VLOOKUP(1,INDIRECT($C$65),3,0)</f>
        <v>5</v>
      </c>
      <c r="F38" s="79"/>
      <c r="G38" s="80" t="s">
        <v>146</v>
      </c>
      <c r="H38" s="84">
        <f ca="1">IF(E38=" ","",IF(F38="",0,E38-F38))</f>
        <v>0</v>
      </c>
    </row>
    <row r="39" spans="1:8" outlineLevel="1" x14ac:dyDescent="0.35">
      <c r="A39" s="163" t="str">
        <f ca="1">VLOOKUP(2,INDIRECT($C$65),2,0)</f>
        <v>Vorspreizen, Bestellschritt, Strecksprung 3/2 Drehung</v>
      </c>
      <c r="B39" s="164"/>
      <c r="C39" s="164"/>
      <c r="D39" s="164"/>
      <c r="E39" s="87">
        <f ca="1">VLOOKUP(2,INDIRECT($C$65),3,0)</f>
        <v>3</v>
      </c>
      <c r="F39" s="43"/>
      <c r="G39" s="81" t="s">
        <v>146</v>
      </c>
      <c r="H39" s="84">
        <f t="shared" ref="H39:H49" ca="1" si="1">IF(E39=" ","",IF(F39="",0,E39-F39))</f>
        <v>0</v>
      </c>
    </row>
    <row r="40" spans="1:8" outlineLevel="1" x14ac:dyDescent="0.35">
      <c r="A40" s="163" t="str">
        <f ca="1">VLOOKUP(3,INDIRECT($C$65),2,0)</f>
        <v>Rolle rückwärts durch Handstand mit 1/2 Drehung</v>
      </c>
      <c r="B40" s="164"/>
      <c r="C40" s="164"/>
      <c r="D40" s="164"/>
      <c r="E40" s="87">
        <f ca="1">VLOOKUP(3,INDIRECT($C$65),3,0)</f>
        <v>4</v>
      </c>
      <c r="F40" s="43"/>
      <c r="G40" s="81" t="s">
        <v>146</v>
      </c>
      <c r="H40" s="84">
        <f t="shared" ca="1" si="1"/>
        <v>0</v>
      </c>
    </row>
    <row r="41" spans="1:8" outlineLevel="1" x14ac:dyDescent="0.35">
      <c r="A41" s="163" t="str">
        <f ca="1">VLOOKUP(4,INDIRECT($C$65),2,0)</f>
        <v>--&gt; Strecksprung --&gt; Salto vorwärts gehockt</v>
      </c>
      <c r="B41" s="164"/>
      <c r="C41" s="164"/>
      <c r="D41" s="164"/>
      <c r="E41" s="87">
        <f ca="1">VLOOKUP(4,INDIRECT($C$65),3,0)</f>
        <v>4</v>
      </c>
      <c r="F41" s="43"/>
      <c r="G41" s="81" t="s">
        <v>146</v>
      </c>
      <c r="H41" s="84">
        <f t="shared" ca="1" si="1"/>
        <v>0</v>
      </c>
    </row>
    <row r="42" spans="1:8" outlineLevel="1" x14ac:dyDescent="0.35">
      <c r="A42" s="163" t="str">
        <f ca="1">VLOOKUP(5,INDIRECT($C$65),2,0)</f>
        <v>Wiener, 1/2 Drehung, absenken zum Stand</v>
      </c>
      <c r="B42" s="164"/>
      <c r="C42" s="164"/>
      <c r="D42" s="164"/>
      <c r="E42" s="87">
        <f ca="1">VLOOKUP(5,INDIRECT($C$65),3,0)</f>
        <v>4</v>
      </c>
      <c r="F42" s="43"/>
      <c r="G42" s="81" t="s">
        <v>146</v>
      </c>
      <c r="H42" s="84">
        <f t="shared" ca="1" si="1"/>
        <v>0</v>
      </c>
    </row>
    <row r="43" spans="1:8" outlineLevel="1" x14ac:dyDescent="0.35">
      <c r="A43" s="163" t="str">
        <f ca="1">VLOOKUP(6,INDIRECT($C$65),2,0)</f>
        <v>Handstand mit zwei Hüpfern, abrollen</v>
      </c>
      <c r="B43" s="164"/>
      <c r="C43" s="164"/>
      <c r="D43" s="164"/>
      <c r="E43" s="87">
        <f ca="1">VLOOKUP(6,INDIRECT($C$65),3,0)</f>
        <v>2</v>
      </c>
      <c r="F43" s="43"/>
      <c r="G43" s="81" t="s">
        <v>146</v>
      </c>
      <c r="H43" s="84">
        <f t="shared" ca="1" si="1"/>
        <v>0</v>
      </c>
    </row>
    <row r="44" spans="1:8" outlineLevel="1" x14ac:dyDescent="0.35">
      <c r="A44" s="163" t="str">
        <f ca="1">VLOOKUP(7,INDIRECT($C$65),2,0)</f>
        <v>--&gt; aufstehen mit gestreckten Beinen</v>
      </c>
      <c r="B44" s="164"/>
      <c r="C44" s="164"/>
      <c r="D44" s="164"/>
      <c r="E44" s="87">
        <f ca="1">VLOOKUP(7,INDIRECT($C$65),3,0)</f>
        <v>3</v>
      </c>
      <c r="F44" s="43"/>
      <c r="G44" s="81" t="s">
        <v>146</v>
      </c>
      <c r="H44" s="84">
        <f t="shared" ca="1" si="1"/>
        <v>0</v>
      </c>
    </row>
    <row r="45" spans="1:8" outlineLevel="1" x14ac:dyDescent="0.35">
      <c r="A45" s="163" t="str">
        <f ca="1">VLOOKUP(8,INDIRECT($C$65),2,0)</f>
        <v>Salto rückwärts gebückt</v>
      </c>
      <c r="B45" s="164"/>
      <c r="C45" s="164"/>
      <c r="D45" s="164"/>
      <c r="E45" s="87">
        <f ca="1">VLOOKUP(8,INDIRECT($C$65),3,0)</f>
        <v>5</v>
      </c>
      <c r="F45" s="43"/>
      <c r="G45" s="81" t="s">
        <v>146</v>
      </c>
      <c r="H45" s="84">
        <f t="shared" ca="1" si="1"/>
        <v>0</v>
      </c>
    </row>
    <row r="46" spans="1:8" outlineLevel="1" x14ac:dyDescent="0.35">
      <c r="A46" s="163" t="str">
        <f ca="1">VLOOKUP(9,INDIRECT($C$65),2,0)</f>
        <v xml:space="preserve"> </v>
      </c>
      <c r="B46" s="164"/>
      <c r="C46" s="164"/>
      <c r="D46" s="164"/>
      <c r="E46" s="87" t="str">
        <f ca="1">VLOOKUP(9,INDIRECT($C$65),3,0)</f>
        <v xml:space="preserve"> </v>
      </c>
      <c r="F46" s="43"/>
      <c r="G46" s="81" t="str">
        <f>IF(H2&gt;16,"","Wert - Abzug")</f>
        <v/>
      </c>
      <c r="H46" s="84" t="str">
        <f t="shared" ca="1" si="1"/>
        <v/>
      </c>
    </row>
    <row r="47" spans="1:8" outlineLevel="1" x14ac:dyDescent="0.35">
      <c r="A47" s="163" t="str">
        <f ca="1">VLOOKUP(10,INDIRECT($C$65),2,0)</f>
        <v xml:space="preserve"> </v>
      </c>
      <c r="B47" s="164"/>
      <c r="C47" s="164"/>
      <c r="D47" s="164"/>
      <c r="E47" s="87" t="str">
        <f ca="1">VLOOKUP(10,INDIRECT($C$65),3,0)</f>
        <v xml:space="preserve"> </v>
      </c>
      <c r="F47" s="43"/>
      <c r="G47" s="81" t="str">
        <f>IF(H2&gt;16,"","Wert - Abzug")</f>
        <v/>
      </c>
      <c r="H47" s="84" t="str">
        <f t="shared" ca="1" si="1"/>
        <v/>
      </c>
    </row>
    <row r="48" spans="1:8" outlineLevel="1" x14ac:dyDescent="0.35">
      <c r="A48" s="163" t="str">
        <f ca="1">VLOOKUP(11,INDIRECT($C$65),2,0)</f>
        <v xml:space="preserve"> </v>
      </c>
      <c r="B48" s="164"/>
      <c r="C48" s="164"/>
      <c r="D48" s="164"/>
      <c r="E48" s="87" t="str">
        <f ca="1">VLOOKUP(11,INDIRECT($C$65),3,0)</f>
        <v xml:space="preserve"> </v>
      </c>
      <c r="F48" s="43"/>
      <c r="G48" s="81" t="str">
        <f>IF(H2&gt;13,"","Wert - Abzug")</f>
        <v/>
      </c>
      <c r="H48" s="84" t="str">
        <f t="shared" ca="1" si="1"/>
        <v/>
      </c>
    </row>
    <row r="49" spans="1:8" ht="15" outlineLevel="1" thickBot="1" x14ac:dyDescent="0.4">
      <c r="A49" s="184" t="str">
        <f ca="1">VLOOKUP(12,INDIRECT($C$65),2,0)</f>
        <v xml:space="preserve"> </v>
      </c>
      <c r="B49" s="185"/>
      <c r="C49" s="185"/>
      <c r="D49" s="185"/>
      <c r="E49" s="93" t="str">
        <f ca="1">VLOOKUP(12,INDIRECT($C$65),3,0)</f>
        <v xml:space="preserve"> </v>
      </c>
      <c r="F49" s="82"/>
      <c r="G49" s="83" t="str">
        <f>IF(OR(H2=9,H2=12,H2=13),"Wert - Abzug","")</f>
        <v/>
      </c>
      <c r="H49" s="84" t="str">
        <f t="shared" ca="1" si="1"/>
        <v/>
      </c>
    </row>
    <row r="50" spans="1:8" ht="15" thickBot="1" x14ac:dyDescent="0.4">
      <c r="A50" s="176" t="s">
        <v>98</v>
      </c>
      <c r="B50" s="177"/>
      <c r="C50" s="177"/>
      <c r="D50" s="177"/>
      <c r="E50" s="177"/>
      <c r="F50" s="177"/>
      <c r="G50" s="178"/>
      <c r="H50" s="44">
        <f ca="1">SUM(H38:H49)</f>
        <v>0</v>
      </c>
    </row>
    <row r="51" spans="1:8" ht="16" thickBot="1" x14ac:dyDescent="0.4">
      <c r="A51" s="169" t="s">
        <v>42</v>
      </c>
      <c r="B51" s="170"/>
      <c r="C51" s="170"/>
      <c r="D51" s="170"/>
      <c r="E51" s="170"/>
      <c r="F51" s="170"/>
      <c r="G51" s="170"/>
      <c r="H51" s="94">
        <f ca="1">SUM(H9,H18,H36,H50)</f>
        <v>180.54999999999998</v>
      </c>
    </row>
    <row r="52" spans="1:8" s="23" customFormat="1" x14ac:dyDescent="0.35">
      <c r="D52" s="50"/>
      <c r="E52" s="50"/>
      <c r="F52" s="50"/>
      <c r="G52" s="50"/>
    </row>
    <row r="53" spans="1:8" s="23" customFormat="1" hidden="1" x14ac:dyDescent="0.35">
      <c r="C53" s="24"/>
      <c r="D53" s="50"/>
      <c r="E53" s="50"/>
      <c r="F53" s="50"/>
      <c r="G53" s="50"/>
    </row>
    <row r="54" spans="1:8" s="23" customFormat="1" hidden="1" x14ac:dyDescent="0.35">
      <c r="B54" s="23" t="s">
        <v>249</v>
      </c>
      <c r="C54" s="23" t="str">
        <f>IF(H2&lt;13,"beide",F1)</f>
        <v>weiblich</v>
      </c>
      <c r="D54" s="50"/>
      <c r="E54" s="50"/>
      <c r="F54" s="50"/>
      <c r="G54" s="50"/>
    </row>
    <row r="55" spans="1:8" s="23" customFormat="1" hidden="1" x14ac:dyDescent="0.35">
      <c r="B55" s="23" t="s">
        <v>3</v>
      </c>
      <c r="C55" s="23">
        <f>IF(OR(H2=8,H2=11),H2,IF(H2&lt;11,"9_10",IF(H2&lt;14,"12_13",IF(H2&lt;16,"14_15",IF(H2&lt;18,"16_17",18)))))</f>
        <v>18</v>
      </c>
      <c r="D55" s="50"/>
      <c r="E55" s="50"/>
      <c r="F55" s="50"/>
      <c r="G55" s="50"/>
    </row>
    <row r="56" spans="1:8" s="23" customFormat="1" hidden="1" x14ac:dyDescent="0.35">
      <c r="D56" s="50"/>
      <c r="E56" s="50"/>
      <c r="F56" s="50"/>
      <c r="G56" s="50"/>
    </row>
    <row r="57" spans="1:8" s="23" customFormat="1" hidden="1" x14ac:dyDescent="0.35">
      <c r="B57" s="23" t="s">
        <v>251</v>
      </c>
      <c r="C57" s="23" t="str">
        <f>"TBN_"&amp;C54&amp;"_"&amp;C55</f>
        <v>TBN_weiblich_18</v>
      </c>
      <c r="D57" s="50"/>
      <c r="E57" s="50"/>
      <c r="F57" s="50"/>
      <c r="G57" s="50"/>
    </row>
    <row r="58" spans="1:8" s="23" customFormat="1" hidden="1" x14ac:dyDescent="0.35">
      <c r="C58" s="23" t="str">
        <f>C57&amp;"[Beschreibung]"</f>
        <v>TBN_weiblich_18[Beschreibung]</v>
      </c>
      <c r="D58" s="50"/>
      <c r="E58" s="50"/>
      <c r="F58" s="50"/>
      <c r="G58" s="50"/>
    </row>
    <row r="59" spans="1:8" s="23" customFormat="1" hidden="1" x14ac:dyDescent="0.35">
      <c r="D59" s="50"/>
      <c r="E59" s="50"/>
      <c r="F59" s="50"/>
      <c r="G59" s="50"/>
    </row>
    <row r="60" spans="1:8" s="23" customFormat="1" hidden="1" x14ac:dyDescent="0.35">
      <c r="B60" s="23" t="s">
        <v>147</v>
      </c>
      <c r="C60" s="23" t="str">
        <f>"TN_"&amp;C54&amp;"_"&amp;C55</f>
        <v>TN_weiblich_18</v>
      </c>
      <c r="D60" s="50"/>
      <c r="E60" s="50"/>
      <c r="F60" s="50"/>
      <c r="G60" s="50"/>
    </row>
    <row r="61" spans="1:8" s="23" customFormat="1" hidden="1" x14ac:dyDescent="0.35">
      <c r="C61" s="23" t="str">
        <f>C60&amp;"[Beschreibung]"</f>
        <v>TN_weiblich_18[Beschreibung]</v>
      </c>
      <c r="D61" s="50"/>
      <c r="E61" s="50"/>
      <c r="F61" s="50"/>
      <c r="G61" s="50"/>
    </row>
    <row r="62" spans="1:8" s="23" customFormat="1" hidden="1" x14ac:dyDescent="0.35">
      <c r="D62" s="50"/>
      <c r="E62" s="50"/>
      <c r="F62" s="50"/>
      <c r="G62" s="50"/>
    </row>
    <row r="63" spans="1:8" s="23" customFormat="1" hidden="1" x14ac:dyDescent="0.35">
      <c r="B63" s="23" t="s">
        <v>17</v>
      </c>
      <c r="C63" s="23" t="str">
        <f>"TV_"&amp;F1&amp;"_"&amp;C55</f>
        <v>TV_weiblich_18</v>
      </c>
      <c r="D63" s="50"/>
      <c r="E63" s="50"/>
      <c r="F63" s="50"/>
      <c r="G63" s="50"/>
    </row>
    <row r="64" spans="1:8" s="23" customFormat="1" hidden="1" x14ac:dyDescent="0.35">
      <c r="D64" s="50"/>
      <c r="E64" s="50"/>
      <c r="F64" s="50"/>
      <c r="G64" s="50"/>
    </row>
    <row r="65" spans="2:7" s="23" customFormat="1" hidden="1" x14ac:dyDescent="0.35">
      <c r="B65" s="23" t="s">
        <v>252</v>
      </c>
      <c r="C65" s="23" t="str">
        <f>"BKÜ"&amp;IF(H2=9,"_9",IF(H2&lt;12,"_10_11",IF(H2&lt;14,"_12_13",IF(H2&lt;17,"_14_16","_17"))))</f>
        <v>BKÜ_17</v>
      </c>
      <c r="D65" s="50"/>
      <c r="E65" s="50"/>
      <c r="F65" s="50"/>
      <c r="G65" s="50"/>
    </row>
    <row r="66" spans="2:7" s="23" customFormat="1" hidden="1" x14ac:dyDescent="0.35">
      <c r="D66" s="50"/>
      <c r="E66" s="50"/>
      <c r="F66" s="50"/>
      <c r="G66" s="50"/>
    </row>
    <row r="67" spans="2:7" s="23" customFormat="1" hidden="1" x14ac:dyDescent="0.35">
      <c r="B67" s="23" t="s">
        <v>250</v>
      </c>
      <c r="C67" s="23" t="str">
        <f>IF(H2&lt;17,"beide",F1)</f>
        <v>weiblich</v>
      </c>
      <c r="D67" s="50"/>
      <c r="E67" s="50"/>
      <c r="F67" s="50"/>
      <c r="G67" s="50"/>
    </row>
    <row r="68" spans="2:7" s="23" customFormat="1" hidden="1" x14ac:dyDescent="0.35">
      <c r="B68" s="23" t="s">
        <v>17</v>
      </c>
      <c r="C68" s="23" t="str">
        <f>"TV_"&amp;C67&amp;"_"&amp;C55</f>
        <v>TV_weiblich_18</v>
      </c>
      <c r="D68" s="50"/>
      <c r="E68" s="50"/>
      <c r="F68" s="50"/>
      <c r="G68" s="50"/>
    </row>
    <row r="69" spans="2:7" x14ac:dyDescent="0.35"/>
    <row r="70" spans="2:7" x14ac:dyDescent="0.35"/>
  </sheetData>
  <sheetProtection algorithmName="SHA-512" hashValue="EDi+SOxwPVgpVwiHqJywIrM1/GevDfqHLpwqorUcuKp/XKYgTb5l8eh/dxHwzebSzuWJKOORXo6LEXmk0NNxMA==" saltValue="KEUpW0cnfP0tkf8r55MjLg==" spinCount="100000" sheet="1" objects="1" scenarios="1" selectLockedCells="1"/>
  <protectedRanges>
    <protectedRange sqref="H1:H2 F1:F2 B1:B2" name="Athletendaten"/>
    <protectedRange sqref="F38:F49 C20:F35 D69:E440 C69:C441 F4:F8 C38:E68 C11:E16 F11:F17" name="Werte und Varianten"/>
    <protectedRange algorithmName="SHA-512" hashValue="EtPG7jm6pk6JVG08ToKZL4Sto4PS6TOUsygvFmj6DTfcGnX6DwKdfjTEg/2X1Hwnu/CwfNhBUSnXKs/oLqcupQ==" saltValue="sPse4fdTsI5OFESYvRIl8Q==" spinCount="100000" sqref="H4:H8 H38:H49 H20:H35 H11:H17" name="Punktzahlen"/>
  </protectedRanges>
  <mergeCells count="44">
    <mergeCell ref="A50:G50"/>
    <mergeCell ref="A51:G51"/>
    <mergeCell ref="A44:D44"/>
    <mergeCell ref="A45:D45"/>
    <mergeCell ref="A46:D46"/>
    <mergeCell ref="A47:D47"/>
    <mergeCell ref="A48:D48"/>
    <mergeCell ref="A49:D49"/>
    <mergeCell ref="A43:D43"/>
    <mergeCell ref="A32:B32"/>
    <mergeCell ref="A33:B33"/>
    <mergeCell ref="A34:B34"/>
    <mergeCell ref="A35:B35"/>
    <mergeCell ref="A36:G36"/>
    <mergeCell ref="A37:D37"/>
    <mergeCell ref="A38:D38"/>
    <mergeCell ref="A39:D39"/>
    <mergeCell ref="A40:D40"/>
    <mergeCell ref="A41:D41"/>
    <mergeCell ref="A42:D42"/>
    <mergeCell ref="A31:B31"/>
    <mergeCell ref="A13:E13"/>
    <mergeCell ref="A14:E14"/>
    <mergeCell ref="A15:E15"/>
    <mergeCell ref="A16:E16"/>
    <mergeCell ref="A18:G18"/>
    <mergeCell ref="A19:C19"/>
    <mergeCell ref="A20:B20"/>
    <mergeCell ref="A21:B21"/>
    <mergeCell ref="A22:B22"/>
    <mergeCell ref="A23:B23"/>
    <mergeCell ref="A30:B30"/>
    <mergeCell ref="A12:E12"/>
    <mergeCell ref="B1:E1"/>
    <mergeCell ref="B2:F2"/>
    <mergeCell ref="A3:E3"/>
    <mergeCell ref="A4:E4"/>
    <mergeCell ref="A5:E5"/>
    <mergeCell ref="A6:E6"/>
    <mergeCell ref="A7:E7"/>
    <mergeCell ref="A8:E8"/>
    <mergeCell ref="A9:G9"/>
    <mergeCell ref="A10:E10"/>
    <mergeCell ref="A11:E11"/>
  </mergeCells>
  <conditionalFormatting sqref="F46:F49">
    <cfRule type="expression" dxfId="227" priority="3">
      <formula>$A46=" "</formula>
    </cfRule>
  </conditionalFormatting>
  <conditionalFormatting sqref="B24:B29 C21:E29">
    <cfRule type="expression" dxfId="226" priority="2">
      <formula>$A21="entfällt"</formula>
    </cfRule>
    <cfRule type="expression" dxfId="225" priority="4">
      <formula>$H$2&gt;14</formula>
    </cfRule>
  </conditionalFormatting>
  <conditionalFormatting sqref="B24:B29">
    <cfRule type="expression" dxfId="224" priority="1">
      <formula>AND($A24="TN",$C24&lt;&gt;"")</formula>
    </cfRule>
  </conditionalFormatting>
  <dataValidations count="19">
    <dataValidation type="decimal" errorStyle="warning" allowBlank="1" showInputMessage="1" showErrorMessage="1" error="Eingegebener Abzug überschreitet maximal zulässigen Abzug, Wert bitte überprüfen!" sqref="F21:F35" xr:uid="{DFD88AD3-49D8-4FE6-8A0C-467FABEEDDD2}">
      <formula1>0</formula1>
      <formula2>$E21</formula2>
    </dataValidation>
    <dataValidation type="list" allowBlank="1" showInputMessage="1" showErrorMessage="1" sqref="C20" xr:uid="{A7A1029E-71B8-4201-9BCC-8BD5001D59F2}">
      <formula1>"Lichtschranke,Druckmessplatte"</formula1>
    </dataValidation>
    <dataValidation type="whole" allowBlank="1" showInputMessage="1" showErrorMessage="1" errorTitle="Falsche Eingabe" error="Bitte Wert prüfen" sqref="D17" xr:uid="{91BA6CF6-79DF-4FBC-AFA5-B9DF09B92C65}">
      <formula1>1</formula1>
      <formula2>13</formula2>
    </dataValidation>
    <dataValidation type="list" allowBlank="1" showInputMessage="1" sqref="C24:C29" xr:uid="{A3D18D9B-061D-4445-AD5A-390F44A8C539}">
      <formula1>INDIRECT($C$61)</formula1>
    </dataValidation>
    <dataValidation type="list" allowBlank="1" showInputMessage="1" sqref="C21:C23" xr:uid="{7E7CB11F-F08D-4B94-B973-C22D52510458}">
      <formula1>INDIRECT($C$58)</formula1>
    </dataValidation>
    <dataValidation allowBlank="1" showInputMessage="1" showErrorMessage="1" prompt="Anzahl der Wiederholungen" sqref="F11" xr:uid="{833E9B9F-F4D2-4A0F-8F6A-6973B95C7135}"/>
    <dataValidation type="whole" allowBlank="1" showInputMessage="1" showErrorMessage="1" prompt="Abstand von der Oberkante des Turnhockers zur schlechtesten Fingerspitze in cm" sqref="F6" xr:uid="{59DA0FE1-A8D3-4EBE-B620-797D08E90BDF}">
      <formula1>-50</formula1>
      <formula2>50</formula2>
    </dataValidation>
    <dataValidation type="list" allowBlank="1" showInputMessage="1" showErrorMessage="1" prompt="Punktzahl nach Vergleich mit Bild" sqref="F5" xr:uid="{272C6C41-61F9-42BD-BA4D-462402317D00}">
      <formula1>"0,2,6,10"</formula1>
    </dataValidation>
    <dataValidation type="whole" allowBlank="1" showErrorMessage="1" errorTitle="Falsche Eingabe" error="Bitte Wert prüfen" prompt="Höchste erreichte Stufe" sqref="F17" xr:uid="{DEB91574-39E6-4261-97EC-8D008213316A}">
      <formula1>1</formula1>
      <formula2>11</formula2>
    </dataValidation>
    <dataValidation allowBlank="1" sqref="D20:E20" xr:uid="{5E30BA2B-BE76-41E6-A227-4991EB01B0FB}"/>
    <dataValidation type="decimal" errorStyle="warning" allowBlank="1" showInputMessage="1" showErrorMessage="1" error="Abzug höher als Wert des Elements, bitte überprüfen!" prompt="Abzug" sqref="F38:F49" xr:uid="{86E39A24-5AE9-4090-9F70-3B0789215D1E}">
      <formula1>0</formula1>
      <formula2>$E38</formula2>
    </dataValidation>
    <dataValidation type="whole" allowBlank="1" showInputMessage="1" showErrorMessage="1" prompt="AKs 9 - 13: Übersprungene Kästchen_x000a__x000a_AKs 14 - 21: Anzahl Saltos" sqref="F15" xr:uid="{4578DF37-D084-4139-B54A-6A8DD7ACA9F4}">
      <formula1>0</formula1>
      <formula2>50</formula2>
    </dataValidation>
    <dataValidation type="list" allowBlank="1" showInputMessage="1" showErrorMessage="1" sqref="F1" xr:uid="{1A20E34B-DF0B-4319-B63A-21758BFBD43D}">
      <formula1>"männlich,weiblich"</formula1>
    </dataValidation>
    <dataValidation type="whole" allowBlank="1" showInputMessage="1" showErrorMessage="1" sqref="H4:H8" xr:uid="{30A6F6B3-5C1A-41B9-AF2E-6ACED88266A5}">
      <formula1>0</formula1>
      <formula2>10</formula2>
    </dataValidation>
    <dataValidation type="whole" allowBlank="1" showInputMessage="1" showErrorMessage="1" prompt="Haltezeit in Sekunden" sqref="F13" xr:uid="{D080C549-9EF7-4A3E-B738-1DACD3D91765}">
      <formula1>0</formula1>
      <formula2>200</formula2>
    </dataValidation>
    <dataValidation type="whole" allowBlank="1" showInputMessage="1" showErrorMessage="1" prompt="Haltezeit in Sekunden" sqref="F16" xr:uid="{DCC2555A-C183-44E4-ADD3-C2B8976C4E68}">
      <formula1>0</formula1>
      <formula2>100</formula2>
    </dataValidation>
    <dataValidation type="whole" allowBlank="1" showInputMessage="1" showErrorMessage="1" prompt="Anzahl der Wiederholungen" sqref="F14 F12" xr:uid="{2BAF6D4C-967D-47AE-AE71-C38990B509BC}">
      <formula1>0</formula1>
      <formula2>50</formula2>
    </dataValidation>
    <dataValidation type="list" operator="equal" allowBlank="1" showInputMessage="1" showErrorMessage="1" prompt="Punktzahl nach Vergleich mit Bild" sqref="F4" xr:uid="{0B5FCB74-1DAD-4040-A5C3-0E40FCF65AB5}">
      <formula1>"0,2,6,10"</formula1>
    </dataValidation>
    <dataValidation type="decimal" errorStyle="warning" showDropDown="1" showErrorMessage="1" error="Wert unrealistisch hoch, bitte Eingabe überprüfen" promptTitle="Vorsicht" sqref="F20" xr:uid="{1089E935-C8A6-41E0-8916-F2C411877D2E}">
      <formula1>0</formula1>
      <formula2>30</formula2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Bitte Werte aus Dropdown auswählen" prompt="Abstand vom Boden laut Schablone" xr:uid="{8417EA84-99C3-4524-B38A-DAED43934EF3}">
          <x14:formula1>
            <xm:f>Punktetabellen!$A$3:$A$6</xm:f>
          </x14:formula1>
          <xm:sqref>F7:F8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54DDE-2A66-4C17-84DA-A392546EDC21}">
  <sheetPr codeName="Tabelle22">
    <tabColor indexed="47"/>
    <pageSetUpPr fitToPage="1"/>
  </sheetPr>
  <dimension ref="A1:J70"/>
  <sheetViews>
    <sheetView zoomScale="91" zoomScaleNormal="70" workbookViewId="0">
      <pane ySplit="2" topLeftCell="A24" activePane="bottomLeft" state="frozen"/>
      <selection sqref="A1:H1"/>
      <selection pane="bottomLeft" activeCell="C20" sqref="C20"/>
    </sheetView>
  </sheetViews>
  <sheetFormatPr baseColWidth="10" defaultColWidth="0" defaultRowHeight="14.5" zeroHeight="1" outlineLevelRow="1" x14ac:dyDescent="0.35"/>
  <cols>
    <col min="1" max="1" width="11.453125" customWidth="1"/>
    <col min="2" max="2" width="12.1796875" customWidth="1"/>
    <col min="3" max="3" width="44.81640625" bestFit="1" customWidth="1"/>
    <col min="4" max="5" width="11.453125" style="148" customWidth="1"/>
    <col min="6" max="6" width="16.1796875" style="148" bestFit="1" customWidth="1"/>
    <col min="7" max="7" width="13.81640625" style="148" customWidth="1"/>
    <col min="8" max="8" width="11.453125" customWidth="1"/>
    <col min="9" max="9" width="6.1796875" style="23" hidden="1" customWidth="1"/>
    <col min="10" max="10" width="0" hidden="1" customWidth="1"/>
    <col min="11" max="16384" width="11.453125" hidden="1"/>
  </cols>
  <sheetData>
    <row r="1" spans="1:8" ht="15.5" x14ac:dyDescent="0.35">
      <c r="A1" s="16" t="s">
        <v>1</v>
      </c>
      <c r="B1" s="186" t="s">
        <v>371</v>
      </c>
      <c r="C1" s="187"/>
      <c r="D1" s="187"/>
      <c r="E1" s="188"/>
      <c r="F1" s="51" t="s">
        <v>97</v>
      </c>
      <c r="G1" s="61" t="s">
        <v>24</v>
      </c>
      <c r="H1" s="63">
        <v>2004</v>
      </c>
    </row>
    <row r="2" spans="1:8" ht="16" thickBot="1" x14ac:dyDescent="0.4">
      <c r="A2" s="17" t="s">
        <v>4</v>
      </c>
      <c r="B2" s="198" t="s">
        <v>359</v>
      </c>
      <c r="C2" s="199"/>
      <c r="D2" s="199"/>
      <c r="E2" s="199"/>
      <c r="F2" s="200"/>
      <c r="G2" s="62" t="s">
        <v>3</v>
      </c>
      <c r="H2" s="64">
        <f>2022-H1</f>
        <v>18</v>
      </c>
    </row>
    <row r="3" spans="1:8" ht="15" outlineLevel="1" thickBot="1" x14ac:dyDescent="0.4">
      <c r="A3" s="189" t="s">
        <v>26</v>
      </c>
      <c r="B3" s="190"/>
      <c r="C3" s="190"/>
      <c r="D3" s="190"/>
      <c r="E3" s="191"/>
      <c r="F3" s="46" t="s">
        <v>27</v>
      </c>
      <c r="G3" s="47" t="s">
        <v>28</v>
      </c>
      <c r="H3" s="22" t="s">
        <v>234</v>
      </c>
    </row>
    <row r="4" spans="1:8" outlineLevel="1" x14ac:dyDescent="0.35">
      <c r="A4" s="192" t="s">
        <v>30</v>
      </c>
      <c r="B4" s="193"/>
      <c r="C4" s="193"/>
      <c r="D4" s="193"/>
      <c r="E4" s="194"/>
      <c r="F4" s="25">
        <v>10</v>
      </c>
      <c r="G4" s="55" t="s">
        <v>32</v>
      </c>
      <c r="H4" s="34">
        <f>F4</f>
        <v>10</v>
      </c>
    </row>
    <row r="5" spans="1:8" outlineLevel="1" x14ac:dyDescent="0.35">
      <c r="A5" s="195" t="s">
        <v>85</v>
      </c>
      <c r="B5" s="196"/>
      <c r="C5" s="196"/>
      <c r="D5" s="196"/>
      <c r="E5" s="197"/>
      <c r="F5" s="14">
        <v>10</v>
      </c>
      <c r="G5" s="56" t="s">
        <v>32</v>
      </c>
      <c r="H5" s="35">
        <f>F5</f>
        <v>10</v>
      </c>
    </row>
    <row r="6" spans="1:8" outlineLevel="1" x14ac:dyDescent="0.35">
      <c r="A6" s="195" t="s">
        <v>33</v>
      </c>
      <c r="B6" s="196"/>
      <c r="C6" s="196"/>
      <c r="D6" s="196"/>
      <c r="E6" s="197"/>
      <c r="F6" s="14">
        <v>20</v>
      </c>
      <c r="G6" s="56" t="s">
        <v>31</v>
      </c>
      <c r="H6" s="35">
        <f>IF(F6="",0,VLOOKUP(F6,Punktetabellen!A10:B15,2,1))</f>
        <v>10</v>
      </c>
    </row>
    <row r="7" spans="1:8" outlineLevel="1" x14ac:dyDescent="0.35">
      <c r="A7" s="195" t="s">
        <v>34</v>
      </c>
      <c r="B7" s="196"/>
      <c r="C7" s="196"/>
      <c r="D7" s="196"/>
      <c r="E7" s="197"/>
      <c r="F7" s="14">
        <v>0</v>
      </c>
      <c r="G7" s="56" t="s">
        <v>31</v>
      </c>
      <c r="H7" s="35">
        <f>IF(F7="",0,VLOOKUP(F7,Punktetabellen!A3:B6,2,0))</f>
        <v>5</v>
      </c>
    </row>
    <row r="8" spans="1:8" ht="15" outlineLevel="1" thickBot="1" x14ac:dyDescent="0.4">
      <c r="A8" s="204" t="s">
        <v>35</v>
      </c>
      <c r="B8" s="205"/>
      <c r="C8" s="205"/>
      <c r="D8" s="205"/>
      <c r="E8" s="206"/>
      <c r="F8" s="41">
        <v>0</v>
      </c>
      <c r="G8" s="57" t="s">
        <v>31</v>
      </c>
      <c r="H8" s="36">
        <f>IF(F8="",0,VLOOKUP(F8,Punktetabellen!A3:B6,2,0))</f>
        <v>5</v>
      </c>
    </row>
    <row r="9" spans="1:8" ht="15" thickBot="1" x14ac:dyDescent="0.4">
      <c r="A9" s="210" t="s">
        <v>36</v>
      </c>
      <c r="B9" s="211"/>
      <c r="C9" s="211"/>
      <c r="D9" s="211"/>
      <c r="E9" s="211"/>
      <c r="F9" s="211"/>
      <c r="G9" s="211"/>
      <c r="H9" s="48">
        <f>SUM(H4:H8)</f>
        <v>40</v>
      </c>
    </row>
    <row r="10" spans="1:8" ht="15" outlineLevel="1" thickBot="1" x14ac:dyDescent="0.4">
      <c r="A10" s="189" t="s">
        <v>26</v>
      </c>
      <c r="B10" s="190"/>
      <c r="C10" s="190"/>
      <c r="D10" s="190"/>
      <c r="E10" s="191"/>
      <c r="F10" s="46" t="s">
        <v>27</v>
      </c>
      <c r="G10" s="47" t="s">
        <v>28</v>
      </c>
      <c r="H10" s="22" t="s">
        <v>234</v>
      </c>
    </row>
    <row r="11" spans="1:8" outlineLevel="1" x14ac:dyDescent="0.35">
      <c r="A11" s="207" t="s">
        <v>37</v>
      </c>
      <c r="B11" s="208"/>
      <c r="C11" s="208"/>
      <c r="D11" s="208"/>
      <c r="E11" s="209"/>
      <c r="F11" s="26">
        <v>6</v>
      </c>
      <c r="G11" s="58" t="s">
        <v>31</v>
      </c>
      <c r="H11" s="37">
        <f>IF($F11="",0,VLOOKUP($F11,Pkte_Klimmzug[],$H$2,1))</f>
        <v>1</v>
      </c>
    </row>
    <row r="12" spans="1:8" outlineLevel="1" x14ac:dyDescent="0.35">
      <c r="A12" s="201" t="s">
        <v>38</v>
      </c>
      <c r="B12" s="202"/>
      <c r="C12" s="202"/>
      <c r="D12" s="202"/>
      <c r="E12" s="203"/>
      <c r="F12" s="27">
        <v>1</v>
      </c>
      <c r="G12" s="59" t="s">
        <v>31</v>
      </c>
      <c r="H12" s="38">
        <f>IF($F12="",0,VLOOKUP($F12,Pkte_Beinheben[],$H$2,1))</f>
        <v>0</v>
      </c>
    </row>
    <row r="13" spans="1:8" outlineLevel="1" x14ac:dyDescent="0.35">
      <c r="A13" s="201" t="s">
        <v>88</v>
      </c>
      <c r="B13" s="202"/>
      <c r="C13" s="202"/>
      <c r="D13" s="202"/>
      <c r="E13" s="203"/>
      <c r="F13" s="27">
        <v>110</v>
      </c>
      <c r="G13" s="59" t="s">
        <v>31</v>
      </c>
      <c r="H13" s="38">
        <f>IF($F13="",0,VLOOKUP($F13,Pkte_Flieger[],$H$2,1))</f>
        <v>10</v>
      </c>
    </row>
    <row r="14" spans="1:8" outlineLevel="1" x14ac:dyDescent="0.35">
      <c r="A14" s="201" t="s">
        <v>39</v>
      </c>
      <c r="B14" s="202"/>
      <c r="C14" s="202"/>
      <c r="D14" s="202"/>
      <c r="E14" s="203"/>
      <c r="F14" s="27">
        <v>29</v>
      </c>
      <c r="G14" s="59" t="s">
        <v>31</v>
      </c>
      <c r="H14" s="38">
        <f>IF($F14="",0,VLOOKUP($F14,Pkte_Rollenverbindung[],$H$2,1))</f>
        <v>10</v>
      </c>
    </row>
    <row r="15" spans="1:8" outlineLevel="1" x14ac:dyDescent="0.35">
      <c r="A15" s="201" t="s">
        <v>89</v>
      </c>
      <c r="B15" s="202"/>
      <c r="C15" s="202"/>
      <c r="D15" s="202"/>
      <c r="E15" s="203"/>
      <c r="F15" s="27">
        <v>7</v>
      </c>
      <c r="G15" s="59" t="s">
        <v>31</v>
      </c>
      <c r="H15" s="38">
        <f>IF($F15="",0,VLOOKUP($F15,Pkte_Prellsprung[],$H$2,1))</f>
        <v>7</v>
      </c>
    </row>
    <row r="16" spans="1:8" outlineLevel="1" x14ac:dyDescent="0.35">
      <c r="A16" s="201" t="s">
        <v>90</v>
      </c>
      <c r="B16" s="202"/>
      <c r="C16" s="202"/>
      <c r="D16" s="202"/>
      <c r="E16" s="203"/>
      <c r="F16" s="28">
        <v>30</v>
      </c>
      <c r="G16" s="59" t="s">
        <v>31</v>
      </c>
      <c r="H16" s="38">
        <f>IF($F16="",0,VLOOKUP($F16,Pkte_Handstand[],$H$2,1))</f>
        <v>10</v>
      </c>
    </row>
    <row r="17" spans="1:8" ht="15" outlineLevel="1" thickBot="1" x14ac:dyDescent="0.4">
      <c r="A17" s="112" t="s">
        <v>93</v>
      </c>
      <c r="B17" s="113"/>
      <c r="C17" s="114" t="s">
        <v>269</v>
      </c>
      <c r="D17" s="29">
        <v>7</v>
      </c>
      <c r="E17" s="115" t="s">
        <v>270</v>
      </c>
      <c r="F17" s="29">
        <v>6</v>
      </c>
      <c r="G17" s="60" t="s">
        <v>31</v>
      </c>
      <c r="H17" s="39">
        <f>IF($F17="",0,IF($F$1="weiblich",VLOOKUP((100*$D17+$F17),Pkte_Shuttle_W[],$H$2,1),VLOOKUP((100*$D17+$F17),Pkte_Shuttle_M[],$H$2,1)))</f>
        <v>3</v>
      </c>
    </row>
    <row r="18" spans="1:8" ht="15" thickBot="1" x14ac:dyDescent="0.4">
      <c r="A18" s="161" t="s">
        <v>40</v>
      </c>
      <c r="B18" s="162"/>
      <c r="C18" s="162"/>
      <c r="D18" s="162"/>
      <c r="E18" s="162"/>
      <c r="F18" s="162"/>
      <c r="G18" s="162"/>
      <c r="H18" s="48">
        <f>SUM(H11:H17)</f>
        <v>41</v>
      </c>
    </row>
    <row r="19" spans="1:8" ht="15" outlineLevel="1" thickBot="1" x14ac:dyDescent="0.4">
      <c r="A19" s="159" t="s">
        <v>26</v>
      </c>
      <c r="B19" s="160"/>
      <c r="C19" s="160"/>
      <c r="D19" s="85" t="s">
        <v>235</v>
      </c>
      <c r="E19" s="85" t="s">
        <v>238</v>
      </c>
      <c r="F19" s="85" t="s">
        <v>236</v>
      </c>
      <c r="G19" s="86" t="s">
        <v>28</v>
      </c>
      <c r="H19" s="49" t="s">
        <v>234</v>
      </c>
    </row>
    <row r="20" spans="1:8" outlineLevel="1" x14ac:dyDescent="0.35">
      <c r="A20" s="167" t="s">
        <v>148</v>
      </c>
      <c r="B20" s="168"/>
      <c r="C20" s="116" t="str">
        <f>Infos!A10</f>
        <v>Druckmessplatte</v>
      </c>
      <c r="D20" s="90">
        <f>IF(F1="männlich",VLOOKUP(H2,Standsprünge!A3:C15,3,0),VLOOKUP(H2,Standsprünge!A3:B15,2,0))+IF(C20="Druckmessplatte",0)</f>
        <v>16.100000000000001</v>
      </c>
      <c r="E20" s="90"/>
      <c r="F20" s="67">
        <v>16.495000000000001</v>
      </c>
      <c r="G20" s="91" t="s">
        <v>149</v>
      </c>
      <c r="H20" s="88">
        <f>IF(F20="",0,(F20-D20)*10)</f>
        <v>3.9499999999999957</v>
      </c>
    </row>
    <row r="21" spans="1:8" outlineLevel="1" x14ac:dyDescent="0.35">
      <c r="A21" s="165" t="str">
        <f>IF(H2&gt;15,"entfällt","TBN")</f>
        <v>entfällt</v>
      </c>
      <c r="B21" s="166"/>
      <c r="C21" s="77"/>
      <c r="D21" s="78" t="str">
        <f ca="1">IF(C21="","",VLOOKUP(C21,INDIRECT($C$57),2,0))</f>
        <v/>
      </c>
      <c r="E21" s="78" t="str">
        <f ca="1">IF(C21="","",VLOOKUP(C21,INDIRECT($C$57),3,0))</f>
        <v/>
      </c>
      <c r="F21" s="42"/>
      <c r="G21" s="71" t="str">
        <f>IF(H2&gt;16,"entfällt","Wert - Abzug")</f>
        <v>entfällt</v>
      </c>
      <c r="H21" s="66">
        <f>IF(A21="entfällt",0,IF(F21="",0,D21-F21))</f>
        <v>0</v>
      </c>
    </row>
    <row r="22" spans="1:8" outlineLevel="1" x14ac:dyDescent="0.35">
      <c r="A22" s="165" t="str">
        <f>IF(H2&gt;15,"entfällt","TBN")</f>
        <v>entfällt</v>
      </c>
      <c r="B22" s="166"/>
      <c r="C22" s="77"/>
      <c r="D22" s="78" t="str">
        <f ca="1">IF(C22="","",VLOOKUP(C22,INDIRECT($C$57),2,0))</f>
        <v/>
      </c>
      <c r="E22" s="78" t="str">
        <f ca="1">IF(C22="","",VLOOKUP(C22,INDIRECT($C$57),3,0))</f>
        <v/>
      </c>
      <c r="F22" s="42"/>
      <c r="G22" s="71" t="str">
        <f>IF(H2&gt;16,"entfällt","Wert - Abzug")</f>
        <v>entfällt</v>
      </c>
      <c r="H22" s="66">
        <f t="shared" ref="H22:H28" si="0">IF(A22="entfällt",0,IF(F22="",0,D22-F22))</f>
        <v>0</v>
      </c>
    </row>
    <row r="23" spans="1:8" outlineLevel="1" x14ac:dyDescent="0.35">
      <c r="A23" s="165" t="str">
        <f>IF(H2&gt;11,"entfällt","TBN")</f>
        <v>entfällt</v>
      </c>
      <c r="B23" s="166"/>
      <c r="C23" s="77"/>
      <c r="D23" s="78" t="str">
        <f ca="1">IF(C23="","",VLOOKUP(C23,INDIRECT($C$57),2,0))</f>
        <v/>
      </c>
      <c r="E23" s="78" t="str">
        <f ca="1">IF(C23="","",VLOOKUP(C23,INDIRECT($C$57),3,0))</f>
        <v/>
      </c>
      <c r="F23" s="42"/>
      <c r="G23" s="71" t="str">
        <f>IF(H2&gt;16,"entfällt","Wert - Abzug")</f>
        <v>entfällt</v>
      </c>
      <c r="H23" s="66">
        <f t="shared" si="0"/>
        <v>0</v>
      </c>
    </row>
    <row r="24" spans="1:8" outlineLevel="1" x14ac:dyDescent="0.35">
      <c r="A24" s="110" t="s">
        <v>147</v>
      </c>
      <c r="B24" s="111"/>
      <c r="C24" s="77" t="s">
        <v>185</v>
      </c>
      <c r="D24" s="78">
        <v>15</v>
      </c>
      <c r="E24" s="78">
        <v>6</v>
      </c>
      <c r="F24" s="42">
        <v>4</v>
      </c>
      <c r="G24" s="71" t="s">
        <v>146</v>
      </c>
      <c r="H24" s="66">
        <f t="shared" si="0"/>
        <v>11</v>
      </c>
    </row>
    <row r="25" spans="1:8" outlineLevel="1" x14ac:dyDescent="0.35">
      <c r="A25" s="110" t="s">
        <v>147</v>
      </c>
      <c r="B25" s="111"/>
      <c r="C25" s="77" t="s">
        <v>64</v>
      </c>
      <c r="D25" s="78">
        <v>15</v>
      </c>
      <c r="E25" s="78">
        <v>6</v>
      </c>
      <c r="F25" s="42">
        <v>2</v>
      </c>
      <c r="G25" s="71" t="s">
        <v>146</v>
      </c>
      <c r="H25" s="66">
        <f t="shared" si="0"/>
        <v>13</v>
      </c>
    </row>
    <row r="26" spans="1:8" outlineLevel="1" x14ac:dyDescent="0.35">
      <c r="A26" s="110" t="s">
        <v>147</v>
      </c>
      <c r="B26" s="111"/>
      <c r="C26" s="77"/>
      <c r="D26" s="78"/>
      <c r="E26" s="78"/>
      <c r="F26" s="42"/>
      <c r="G26" s="71" t="s">
        <v>146</v>
      </c>
      <c r="H26" s="66">
        <f t="shared" si="0"/>
        <v>0</v>
      </c>
    </row>
    <row r="27" spans="1:8" outlineLevel="1" x14ac:dyDescent="0.35">
      <c r="A27" s="110" t="str">
        <f>IF(H2&gt;11,"TN","entfällt")</f>
        <v>TN</v>
      </c>
      <c r="B27" s="111"/>
      <c r="C27" s="77"/>
      <c r="D27" s="78"/>
      <c r="E27" s="78"/>
      <c r="F27" s="42"/>
      <c r="G27" s="71" t="str">
        <f>IF(H2&gt;12,"Wert - Abzug","entfällt")</f>
        <v>Wert - Abzug</v>
      </c>
      <c r="H27" s="66">
        <f t="shared" si="0"/>
        <v>0</v>
      </c>
    </row>
    <row r="28" spans="1:8" outlineLevel="1" x14ac:dyDescent="0.35">
      <c r="A28" s="110" t="str">
        <f>IF(H2&gt;15,"TN","entfällt")</f>
        <v>TN</v>
      </c>
      <c r="B28" s="111"/>
      <c r="C28" s="77"/>
      <c r="D28" s="78"/>
      <c r="E28" s="78"/>
      <c r="F28" s="42"/>
      <c r="G28" s="71" t="str">
        <f>IF(H2&gt;16,"Wert - Abzug","entfällt")</f>
        <v>Wert - Abzug</v>
      </c>
      <c r="H28" s="66">
        <f t="shared" si="0"/>
        <v>0</v>
      </c>
    </row>
    <row r="29" spans="1:8" outlineLevel="1" x14ac:dyDescent="0.35">
      <c r="A29" s="110" t="str">
        <f>IF(H2&gt;15,"TN","entfällt")</f>
        <v>TN</v>
      </c>
      <c r="B29" s="111"/>
      <c r="C29" s="77"/>
      <c r="D29" s="78"/>
      <c r="E29" s="78"/>
      <c r="F29" s="42"/>
      <c r="G29" s="71" t="str">
        <f>IF(H2&gt;16,"Wert - Abzug","entfällt")</f>
        <v>Wert - Abzug</v>
      </c>
      <c r="H29" s="66">
        <f>IF(A29="entfällt",0,IF(F29="",0,D29-F29))</f>
        <v>0</v>
      </c>
    </row>
    <row r="30" spans="1:8" outlineLevel="1" x14ac:dyDescent="0.35">
      <c r="A30" s="165" t="str">
        <f>IF($H$2&gt;10,"Verbindung Sprung 1","entfällt")</f>
        <v>Verbindung Sprung 1</v>
      </c>
      <c r="B30" s="166"/>
      <c r="C30" s="40" t="str">
        <f ca="1">IF(A30&lt;&gt;"entfällt",VLOOKUP(1,INDIRECT($C$68),2,0),"")</f>
        <v>803&lt;</v>
      </c>
      <c r="D30" s="40">
        <f ca="1">IF(A30&lt;&gt;"entfällt",VLOOKUP(1,INDIRECT($C$68),3,0),"")</f>
        <v>15</v>
      </c>
      <c r="E30" s="40">
        <f ca="1">IF(A30&lt;&gt;"entfällt",VLOOKUP(1,INDIRECT($C$68),4,0),"")</f>
        <v>3</v>
      </c>
      <c r="F30" s="42">
        <v>3</v>
      </c>
      <c r="G30" s="71" t="str">
        <f>IF(H2&gt;12,"Wert - Abzug","entfällt")</f>
        <v>Wert - Abzug</v>
      </c>
      <c r="H30" s="66"/>
    </row>
    <row r="31" spans="1:8" outlineLevel="1" x14ac:dyDescent="0.35">
      <c r="A31" s="165" t="str">
        <f>IF($H$2&gt;10,"Verbindung Sprung 2","entfällt")</f>
        <v>Verbindung Sprung 2</v>
      </c>
      <c r="B31" s="166"/>
      <c r="C31" s="40" t="str">
        <f ca="1">IF(A31&lt;&gt;"entfällt",VLOOKUP(2,INDIRECT($C$68),2,0),"")</f>
        <v>40&lt;</v>
      </c>
      <c r="D31" s="40">
        <f ca="1">IF(A31&lt;&gt;"entfällt",VLOOKUP(2,INDIRECT($C$68),3,0),"")</f>
        <v>6</v>
      </c>
      <c r="E31" s="40">
        <f ca="1">IF(A31&lt;&gt;"entfällt",VLOOKUP(2,INDIRECT($C$68),4,0),"")</f>
        <v>3</v>
      </c>
      <c r="F31" s="42">
        <v>2</v>
      </c>
      <c r="G31" s="71" t="str">
        <f>IF(H2&gt;12,"Wert - Abzug","entfällt")</f>
        <v>Wert - Abzug</v>
      </c>
      <c r="H31" s="66"/>
    </row>
    <row r="32" spans="1:8" outlineLevel="1" x14ac:dyDescent="0.35">
      <c r="A32" s="165" t="str">
        <f>IF($H$2&gt;10,"Verbindung Sprung 3","entfällt")</f>
        <v>Verbindung Sprung 3</v>
      </c>
      <c r="B32" s="166"/>
      <c r="C32" s="40" t="str">
        <f ca="1">IF(A32&lt;&gt;"entfällt",VLOOKUP(3,INDIRECT($C$68),2,0),"")</f>
        <v>801&lt;</v>
      </c>
      <c r="D32" s="40">
        <f ca="1">IF(A32&lt;&gt;"entfällt",VLOOKUP(3,INDIRECT($C$68),3,0),"")</f>
        <v>13</v>
      </c>
      <c r="E32" s="40">
        <f ca="1">IF(A32&lt;&gt;"entfällt",VLOOKUP(3,INDIRECT($C$68),4,0),"")</f>
        <v>3</v>
      </c>
      <c r="F32" s="42">
        <v>2</v>
      </c>
      <c r="G32" s="71" t="str">
        <f>IF(H2&gt;12,"Wert - Abzug","entfällt")</f>
        <v>Wert - Abzug</v>
      </c>
      <c r="H32" s="66"/>
    </row>
    <row r="33" spans="1:8" outlineLevel="1" x14ac:dyDescent="0.35">
      <c r="A33" s="165" t="str">
        <f>IF($H$2&gt;10,"Verbindung Sprung 4","entfällt")</f>
        <v>Verbindung Sprung 4</v>
      </c>
      <c r="B33" s="166"/>
      <c r="C33" s="40" t="str">
        <f ca="1">IF(A33&lt;&gt;"entfällt",VLOOKUP(4,INDIRECT($C$68),2,0),"")</f>
        <v>40/</v>
      </c>
      <c r="D33" s="40">
        <f ca="1">IF(A33&lt;&gt;"entfällt",VLOOKUP(4,INDIRECT($C$68),3,0),"")</f>
        <v>6</v>
      </c>
      <c r="E33" s="40">
        <f ca="1">IF(A33&lt;&gt;"entfällt",VLOOKUP(4,INDIRECT($C$68),4,0),"")</f>
        <v>3</v>
      </c>
      <c r="F33" s="42">
        <v>2</v>
      </c>
      <c r="G33" s="71" t="str">
        <f>IF(H2&gt;12,"Wert - Abzug","entfällt")</f>
        <v>Wert - Abzug</v>
      </c>
      <c r="H33" s="66"/>
    </row>
    <row r="34" spans="1:8" outlineLevel="1" x14ac:dyDescent="0.35">
      <c r="A34" s="165" t="str">
        <f>IF($H$2&gt;10,"Verbindung Sprung 5","entfällt")</f>
        <v>Verbindung Sprung 5</v>
      </c>
      <c r="B34" s="166"/>
      <c r="C34" s="40" t="str">
        <f ca="1">IF(A34&lt;&gt;"entfällt",VLOOKUP(5,INDIRECT($C$68),2,0),"")</f>
        <v>41/</v>
      </c>
      <c r="D34" s="40">
        <f ca="1">IF(A34&lt;&gt;"entfällt",VLOOKUP(5,INDIRECT($C$68),3,0),"")</f>
        <v>6</v>
      </c>
      <c r="E34" s="40">
        <f ca="1">IF(A34&lt;&gt;"entfällt",VLOOKUP(5,INDIRECT($C$68),4,0),"")</f>
        <v>3</v>
      </c>
      <c r="F34" s="42">
        <v>1</v>
      </c>
      <c r="G34" s="71" t="str">
        <f>IF(H2&gt;12,"Wert - Abzug","entfällt")</f>
        <v>Wert - Abzug</v>
      </c>
      <c r="H34" s="66"/>
    </row>
    <row r="35" spans="1:8" ht="15" outlineLevel="1" thickBot="1" x14ac:dyDescent="0.4">
      <c r="A35" s="171" t="str">
        <f>IF($H$2&gt;10,"Verbindung Sprung 6","entfällt")</f>
        <v>Verbindung Sprung 6</v>
      </c>
      <c r="B35" s="172"/>
      <c r="C35" s="68" t="str">
        <f ca="1">IF(A35&lt;&gt;"entfällt",VLOOKUP(6,INDIRECT($C$68),2,0),"")</f>
        <v>811°</v>
      </c>
      <c r="D35" s="68">
        <v>14</v>
      </c>
      <c r="E35" s="68">
        <v>14</v>
      </c>
      <c r="F35" s="69">
        <v>14</v>
      </c>
      <c r="G35" s="72" t="str">
        <f>IF(H2&gt;12,"Wert - Abzug","entfällt")</f>
        <v>Wert - Abzug</v>
      </c>
      <c r="H35" s="70">
        <f>30-F30-F31-F32-F33-F34-F35</f>
        <v>6</v>
      </c>
    </row>
    <row r="36" spans="1:8" ht="15" thickBot="1" x14ac:dyDescent="0.4">
      <c r="A36" s="173" t="s">
        <v>41</v>
      </c>
      <c r="B36" s="174"/>
      <c r="C36" s="174"/>
      <c r="D36" s="174"/>
      <c r="E36" s="174"/>
      <c r="F36" s="174"/>
      <c r="G36" s="175"/>
      <c r="H36" s="89">
        <f>SUM(H20:H35)</f>
        <v>33.949999999999996</v>
      </c>
    </row>
    <row r="37" spans="1:8" ht="15" outlineLevel="1" thickBot="1" x14ac:dyDescent="0.4">
      <c r="A37" s="181" t="s">
        <v>99</v>
      </c>
      <c r="B37" s="182"/>
      <c r="C37" s="182"/>
      <c r="D37" s="183"/>
      <c r="E37" s="85" t="s">
        <v>27</v>
      </c>
      <c r="F37" s="85" t="s">
        <v>237</v>
      </c>
      <c r="G37" s="86" t="s">
        <v>28</v>
      </c>
      <c r="H37" s="49" t="s">
        <v>234</v>
      </c>
    </row>
    <row r="38" spans="1:8" outlineLevel="1" x14ac:dyDescent="0.35">
      <c r="A38" s="179" t="str">
        <f ca="1">VLOOKUP(1,INDIRECT($C$65),2,0)</f>
        <v>Salto vorwärts gehockt aus dem Stand</v>
      </c>
      <c r="B38" s="180"/>
      <c r="C38" s="180"/>
      <c r="D38" s="180"/>
      <c r="E38" s="92">
        <f ca="1">VLOOKUP(1,INDIRECT($C$65),3,0)</f>
        <v>5</v>
      </c>
      <c r="F38" s="79"/>
      <c r="G38" s="80" t="s">
        <v>146</v>
      </c>
      <c r="H38" s="84">
        <f ca="1">IF(E38=" ","",IF(F38="",0,E38-F38))</f>
        <v>0</v>
      </c>
    </row>
    <row r="39" spans="1:8" outlineLevel="1" x14ac:dyDescent="0.35">
      <c r="A39" s="163" t="str">
        <f ca="1">VLOOKUP(2,INDIRECT($C$65),2,0)</f>
        <v>Vorspreizen, Bestellschritt, Strecksprung 3/2 Drehung</v>
      </c>
      <c r="B39" s="164"/>
      <c r="C39" s="164"/>
      <c r="D39" s="164"/>
      <c r="E39" s="87">
        <f ca="1">VLOOKUP(2,INDIRECT($C$65),3,0)</f>
        <v>3</v>
      </c>
      <c r="F39" s="43"/>
      <c r="G39" s="81" t="s">
        <v>146</v>
      </c>
      <c r="H39" s="84">
        <f t="shared" ref="H39:H49" ca="1" si="1">IF(E39=" ","",IF(F39="",0,E39-F39))</f>
        <v>0</v>
      </c>
    </row>
    <row r="40" spans="1:8" outlineLevel="1" x14ac:dyDescent="0.35">
      <c r="A40" s="163" t="str">
        <f ca="1">VLOOKUP(3,INDIRECT($C$65),2,0)</f>
        <v>Rolle rückwärts durch Handstand mit 1/2 Drehung</v>
      </c>
      <c r="B40" s="164"/>
      <c r="C40" s="164"/>
      <c r="D40" s="164"/>
      <c r="E40" s="87">
        <f ca="1">VLOOKUP(3,INDIRECT($C$65),3,0)</f>
        <v>4</v>
      </c>
      <c r="F40" s="43"/>
      <c r="G40" s="81" t="s">
        <v>146</v>
      </c>
      <c r="H40" s="84">
        <f t="shared" ca="1" si="1"/>
        <v>0</v>
      </c>
    </row>
    <row r="41" spans="1:8" outlineLevel="1" x14ac:dyDescent="0.35">
      <c r="A41" s="163" t="str">
        <f ca="1">VLOOKUP(4,INDIRECT($C$65),2,0)</f>
        <v>--&gt; Strecksprung --&gt; Salto vorwärts gehockt</v>
      </c>
      <c r="B41" s="164"/>
      <c r="C41" s="164"/>
      <c r="D41" s="164"/>
      <c r="E41" s="87">
        <f ca="1">VLOOKUP(4,INDIRECT($C$65),3,0)</f>
        <v>4</v>
      </c>
      <c r="F41" s="43"/>
      <c r="G41" s="81" t="s">
        <v>146</v>
      </c>
      <c r="H41" s="84">
        <f t="shared" ca="1" si="1"/>
        <v>0</v>
      </c>
    </row>
    <row r="42" spans="1:8" outlineLevel="1" x14ac:dyDescent="0.35">
      <c r="A42" s="163" t="str">
        <f ca="1">VLOOKUP(5,INDIRECT($C$65),2,0)</f>
        <v>Wiener, 1/2 Drehung, absenken zum Stand</v>
      </c>
      <c r="B42" s="164"/>
      <c r="C42" s="164"/>
      <c r="D42" s="164"/>
      <c r="E42" s="87">
        <f ca="1">VLOOKUP(5,INDIRECT($C$65),3,0)</f>
        <v>4</v>
      </c>
      <c r="F42" s="43"/>
      <c r="G42" s="81" t="s">
        <v>146</v>
      </c>
      <c r="H42" s="84">
        <f t="shared" ca="1" si="1"/>
        <v>0</v>
      </c>
    </row>
    <row r="43" spans="1:8" outlineLevel="1" x14ac:dyDescent="0.35">
      <c r="A43" s="163" t="str">
        <f ca="1">VLOOKUP(6,INDIRECT($C$65),2,0)</f>
        <v>Handstand mit zwei Hüpfern, abrollen</v>
      </c>
      <c r="B43" s="164"/>
      <c r="C43" s="164"/>
      <c r="D43" s="164"/>
      <c r="E43" s="87">
        <f ca="1">VLOOKUP(6,INDIRECT($C$65),3,0)</f>
        <v>2</v>
      </c>
      <c r="F43" s="43"/>
      <c r="G43" s="81" t="s">
        <v>146</v>
      </c>
      <c r="H43" s="84">
        <f t="shared" ca="1" si="1"/>
        <v>0</v>
      </c>
    </row>
    <row r="44" spans="1:8" outlineLevel="1" x14ac:dyDescent="0.35">
      <c r="A44" s="163" t="str">
        <f ca="1">VLOOKUP(7,INDIRECT($C$65),2,0)</f>
        <v>--&gt; aufstehen mit gestreckten Beinen</v>
      </c>
      <c r="B44" s="164"/>
      <c r="C44" s="164"/>
      <c r="D44" s="164"/>
      <c r="E44" s="87">
        <f ca="1">VLOOKUP(7,INDIRECT($C$65),3,0)</f>
        <v>3</v>
      </c>
      <c r="F44" s="43"/>
      <c r="G44" s="81" t="s">
        <v>146</v>
      </c>
      <c r="H44" s="84">
        <f t="shared" ca="1" si="1"/>
        <v>0</v>
      </c>
    </row>
    <row r="45" spans="1:8" outlineLevel="1" x14ac:dyDescent="0.35">
      <c r="A45" s="163" t="str">
        <f ca="1">VLOOKUP(8,INDIRECT($C$65),2,0)</f>
        <v>Salto rückwärts gebückt</v>
      </c>
      <c r="B45" s="164"/>
      <c r="C45" s="164"/>
      <c r="D45" s="164"/>
      <c r="E45" s="87">
        <f ca="1">VLOOKUP(8,INDIRECT($C$65),3,0)</f>
        <v>5</v>
      </c>
      <c r="F45" s="43"/>
      <c r="G45" s="81" t="s">
        <v>146</v>
      </c>
      <c r="H45" s="84">
        <f t="shared" ca="1" si="1"/>
        <v>0</v>
      </c>
    </row>
    <row r="46" spans="1:8" outlineLevel="1" x14ac:dyDescent="0.35">
      <c r="A46" s="163" t="str">
        <f ca="1">VLOOKUP(9,INDIRECT($C$65),2,0)</f>
        <v xml:space="preserve"> </v>
      </c>
      <c r="B46" s="164"/>
      <c r="C46" s="164"/>
      <c r="D46" s="164"/>
      <c r="E46" s="87" t="str">
        <f ca="1">VLOOKUP(9,INDIRECT($C$65),3,0)</f>
        <v xml:space="preserve"> </v>
      </c>
      <c r="F46" s="43"/>
      <c r="G46" s="81" t="str">
        <f>IF(H2&gt;16,"","Wert - Abzug")</f>
        <v/>
      </c>
      <c r="H46" s="84" t="str">
        <f t="shared" ca="1" si="1"/>
        <v/>
      </c>
    </row>
    <row r="47" spans="1:8" outlineLevel="1" x14ac:dyDescent="0.35">
      <c r="A47" s="163" t="str">
        <f ca="1">VLOOKUP(10,INDIRECT($C$65),2,0)</f>
        <v xml:space="preserve"> </v>
      </c>
      <c r="B47" s="164"/>
      <c r="C47" s="164"/>
      <c r="D47" s="164"/>
      <c r="E47" s="87" t="str">
        <f ca="1">VLOOKUP(10,INDIRECT($C$65),3,0)</f>
        <v xml:space="preserve"> </v>
      </c>
      <c r="F47" s="43"/>
      <c r="G47" s="81" t="str">
        <f>IF(H2&gt;16,"","Wert - Abzug")</f>
        <v/>
      </c>
      <c r="H47" s="84" t="str">
        <f t="shared" ca="1" si="1"/>
        <v/>
      </c>
    </row>
    <row r="48" spans="1:8" outlineLevel="1" x14ac:dyDescent="0.35">
      <c r="A48" s="163" t="str">
        <f ca="1">VLOOKUP(11,INDIRECT($C$65),2,0)</f>
        <v xml:space="preserve"> </v>
      </c>
      <c r="B48" s="164"/>
      <c r="C48" s="164"/>
      <c r="D48" s="164"/>
      <c r="E48" s="87" t="str">
        <f ca="1">VLOOKUP(11,INDIRECT($C$65),3,0)</f>
        <v xml:space="preserve"> </v>
      </c>
      <c r="F48" s="43"/>
      <c r="G48" s="81" t="str">
        <f>IF(H2&gt;13,"","Wert - Abzug")</f>
        <v/>
      </c>
      <c r="H48" s="84" t="str">
        <f t="shared" ca="1" si="1"/>
        <v/>
      </c>
    </row>
    <row r="49" spans="1:8" ht="15" outlineLevel="1" thickBot="1" x14ac:dyDescent="0.4">
      <c r="A49" s="184" t="str">
        <f ca="1">VLOOKUP(12,INDIRECT($C$65),2,0)</f>
        <v xml:space="preserve"> </v>
      </c>
      <c r="B49" s="185"/>
      <c r="C49" s="185"/>
      <c r="D49" s="185"/>
      <c r="E49" s="93" t="str">
        <f ca="1">VLOOKUP(12,INDIRECT($C$65),3,0)</f>
        <v xml:space="preserve"> </v>
      </c>
      <c r="F49" s="82"/>
      <c r="G49" s="83" t="str">
        <f>IF(OR(H2=9,H2=12,H2=13),"Wert - Abzug","")</f>
        <v/>
      </c>
      <c r="H49" s="84" t="str">
        <f t="shared" ca="1" si="1"/>
        <v/>
      </c>
    </row>
    <row r="50" spans="1:8" ht="15" thickBot="1" x14ac:dyDescent="0.4">
      <c r="A50" s="176" t="s">
        <v>98</v>
      </c>
      <c r="B50" s="177"/>
      <c r="C50" s="177"/>
      <c r="D50" s="177"/>
      <c r="E50" s="177"/>
      <c r="F50" s="177"/>
      <c r="G50" s="178"/>
      <c r="H50" s="44">
        <f ca="1">SUM(H38:H49)</f>
        <v>0</v>
      </c>
    </row>
    <row r="51" spans="1:8" ht="16" thickBot="1" x14ac:dyDescent="0.4">
      <c r="A51" s="169" t="s">
        <v>42</v>
      </c>
      <c r="B51" s="170"/>
      <c r="C51" s="170"/>
      <c r="D51" s="170"/>
      <c r="E51" s="170"/>
      <c r="F51" s="170"/>
      <c r="G51" s="170"/>
      <c r="H51" s="94">
        <f ca="1">SUM(H9,H18,H36,H50)</f>
        <v>114.94999999999999</v>
      </c>
    </row>
    <row r="52" spans="1:8" s="23" customFormat="1" x14ac:dyDescent="0.35">
      <c r="D52" s="50"/>
      <c r="E52" s="50"/>
      <c r="F52" s="50"/>
      <c r="G52" s="50"/>
    </row>
    <row r="53" spans="1:8" s="23" customFormat="1" hidden="1" x14ac:dyDescent="0.35">
      <c r="C53" s="24"/>
      <c r="D53" s="50"/>
      <c r="E53" s="50"/>
      <c r="F53" s="50"/>
      <c r="G53" s="50"/>
    </row>
    <row r="54" spans="1:8" s="23" customFormat="1" hidden="1" x14ac:dyDescent="0.35">
      <c r="B54" s="23" t="s">
        <v>249</v>
      </c>
      <c r="C54" s="23" t="str">
        <f>IF(H2&lt;13,"beide",F1)</f>
        <v>weiblich</v>
      </c>
      <c r="D54" s="50"/>
      <c r="E54" s="50"/>
      <c r="F54" s="50"/>
      <c r="G54" s="50"/>
    </row>
    <row r="55" spans="1:8" s="23" customFormat="1" hidden="1" x14ac:dyDescent="0.35">
      <c r="B55" s="23" t="s">
        <v>3</v>
      </c>
      <c r="C55" s="23">
        <f>IF(OR(H2=8,H2=11),H2,IF(H2&lt;11,"9_10",IF(H2&lt;14,"12_13",IF(H2&lt;16,"14_15",IF(H2&lt;18,"16_17",18)))))</f>
        <v>18</v>
      </c>
      <c r="D55" s="50"/>
      <c r="E55" s="50"/>
      <c r="F55" s="50"/>
      <c r="G55" s="50"/>
    </row>
    <row r="56" spans="1:8" s="23" customFormat="1" hidden="1" x14ac:dyDescent="0.35">
      <c r="D56" s="50"/>
      <c r="E56" s="50"/>
      <c r="F56" s="50"/>
      <c r="G56" s="50"/>
    </row>
    <row r="57" spans="1:8" s="23" customFormat="1" hidden="1" x14ac:dyDescent="0.35">
      <c r="B57" s="23" t="s">
        <v>251</v>
      </c>
      <c r="C57" s="23" t="str">
        <f>"TBN_"&amp;C54&amp;"_"&amp;C55</f>
        <v>TBN_weiblich_18</v>
      </c>
      <c r="D57" s="50"/>
      <c r="E57" s="50"/>
      <c r="F57" s="50"/>
      <c r="G57" s="50"/>
    </row>
    <row r="58" spans="1:8" s="23" customFormat="1" hidden="1" x14ac:dyDescent="0.35">
      <c r="C58" s="23" t="str">
        <f>C57&amp;"[Beschreibung]"</f>
        <v>TBN_weiblich_18[Beschreibung]</v>
      </c>
      <c r="D58" s="50"/>
      <c r="E58" s="50"/>
      <c r="F58" s="50"/>
      <c r="G58" s="50"/>
    </row>
    <row r="59" spans="1:8" s="23" customFormat="1" hidden="1" x14ac:dyDescent="0.35">
      <c r="D59" s="50"/>
      <c r="E59" s="50"/>
      <c r="F59" s="50"/>
      <c r="G59" s="50"/>
    </row>
    <row r="60" spans="1:8" s="23" customFormat="1" hidden="1" x14ac:dyDescent="0.35">
      <c r="B60" s="23" t="s">
        <v>147</v>
      </c>
      <c r="C60" s="23" t="str">
        <f>"TN_"&amp;C54&amp;"_"&amp;C55</f>
        <v>TN_weiblich_18</v>
      </c>
      <c r="D60" s="50"/>
      <c r="E60" s="50"/>
      <c r="F60" s="50"/>
      <c r="G60" s="50"/>
    </row>
    <row r="61" spans="1:8" s="23" customFormat="1" hidden="1" x14ac:dyDescent="0.35">
      <c r="C61" s="23" t="str">
        <f>C60&amp;"[Beschreibung]"</f>
        <v>TN_weiblich_18[Beschreibung]</v>
      </c>
      <c r="D61" s="50"/>
      <c r="E61" s="50"/>
      <c r="F61" s="50"/>
      <c r="G61" s="50"/>
    </row>
    <row r="62" spans="1:8" s="23" customFormat="1" hidden="1" x14ac:dyDescent="0.35">
      <c r="D62" s="50"/>
      <c r="E62" s="50"/>
      <c r="F62" s="50"/>
      <c r="G62" s="50"/>
    </row>
    <row r="63" spans="1:8" s="23" customFormat="1" hidden="1" x14ac:dyDescent="0.35">
      <c r="B63" s="23" t="s">
        <v>17</v>
      </c>
      <c r="C63" s="23" t="str">
        <f>"TV_"&amp;F1&amp;"_"&amp;C55</f>
        <v>TV_weiblich_18</v>
      </c>
      <c r="D63" s="50"/>
      <c r="E63" s="50"/>
      <c r="F63" s="50"/>
      <c r="G63" s="50"/>
    </row>
    <row r="64" spans="1:8" s="23" customFormat="1" hidden="1" x14ac:dyDescent="0.35">
      <c r="D64" s="50"/>
      <c r="E64" s="50"/>
      <c r="F64" s="50"/>
      <c r="G64" s="50"/>
    </row>
    <row r="65" spans="2:7" s="23" customFormat="1" hidden="1" x14ac:dyDescent="0.35">
      <c r="B65" s="23" t="s">
        <v>252</v>
      </c>
      <c r="C65" s="23" t="str">
        <f>"BKÜ"&amp;IF(H2=9,"_9",IF(H2&lt;12,"_10_11",IF(H2&lt;14,"_12_13",IF(H2&lt;17,"_14_16","_17"))))</f>
        <v>BKÜ_17</v>
      </c>
      <c r="D65" s="50"/>
      <c r="E65" s="50"/>
      <c r="F65" s="50"/>
      <c r="G65" s="50"/>
    </row>
    <row r="66" spans="2:7" s="23" customFormat="1" hidden="1" x14ac:dyDescent="0.35">
      <c r="D66" s="50"/>
      <c r="E66" s="50"/>
      <c r="F66" s="50"/>
      <c r="G66" s="50"/>
    </row>
    <row r="67" spans="2:7" s="23" customFormat="1" hidden="1" x14ac:dyDescent="0.35">
      <c r="B67" s="23" t="s">
        <v>250</v>
      </c>
      <c r="C67" s="23" t="str">
        <f>IF(H2&lt;17,"beide",F1)</f>
        <v>weiblich</v>
      </c>
      <c r="D67" s="50"/>
      <c r="E67" s="50"/>
      <c r="F67" s="50"/>
      <c r="G67" s="50"/>
    </row>
    <row r="68" spans="2:7" s="23" customFormat="1" hidden="1" x14ac:dyDescent="0.35">
      <c r="B68" s="23" t="s">
        <v>17</v>
      </c>
      <c r="C68" s="23" t="str">
        <f>"TV_"&amp;C67&amp;"_"&amp;C55</f>
        <v>TV_weiblich_18</v>
      </c>
      <c r="D68" s="50"/>
      <c r="E68" s="50"/>
      <c r="F68" s="50"/>
      <c r="G68" s="50"/>
    </row>
    <row r="69" spans="2:7" x14ac:dyDescent="0.35"/>
    <row r="70" spans="2:7" x14ac:dyDescent="0.35"/>
  </sheetData>
  <sheetProtection algorithmName="SHA-512" hashValue="L5wzRsdTFqWpy9/turIu9SxodWSK+xoEWlmcDWF23piINWrhqLFUGTfDYOKMxzG4zyME51ZmObmYK9aO53n7Ug==" saltValue="FmGinSfTJtG2ia75g9dlyA==" spinCount="100000" sheet="1" objects="1" scenarios="1" selectLockedCells="1"/>
  <protectedRanges>
    <protectedRange sqref="H1:H2 F1:F2 B1:B2" name="Athletendaten"/>
    <protectedRange sqref="F38:F49 C20:F35 D69:E440 C69:C441 F4:F8 C38:E68 C11:E16 F11:F17" name="Werte und Varianten"/>
    <protectedRange algorithmName="SHA-512" hashValue="EtPG7jm6pk6JVG08ToKZL4Sto4PS6TOUsygvFmj6DTfcGnX6DwKdfjTEg/2X1Hwnu/CwfNhBUSnXKs/oLqcupQ==" saltValue="sPse4fdTsI5OFESYvRIl8Q==" spinCount="100000" sqref="H4:H8 H38:H49 H20:H35 H11:H17" name="Punktzahlen"/>
  </protectedRanges>
  <mergeCells count="44">
    <mergeCell ref="A50:G50"/>
    <mergeCell ref="A51:G51"/>
    <mergeCell ref="A44:D44"/>
    <mergeCell ref="A45:D45"/>
    <mergeCell ref="A46:D46"/>
    <mergeCell ref="A47:D47"/>
    <mergeCell ref="A48:D48"/>
    <mergeCell ref="A49:D49"/>
    <mergeCell ref="A43:D43"/>
    <mergeCell ref="A32:B32"/>
    <mergeCell ref="A33:B33"/>
    <mergeCell ref="A34:B34"/>
    <mergeCell ref="A35:B35"/>
    <mergeCell ref="A36:G36"/>
    <mergeCell ref="A37:D37"/>
    <mergeCell ref="A38:D38"/>
    <mergeCell ref="A39:D39"/>
    <mergeCell ref="A40:D40"/>
    <mergeCell ref="A41:D41"/>
    <mergeCell ref="A42:D42"/>
    <mergeCell ref="A31:B31"/>
    <mergeCell ref="A13:E13"/>
    <mergeCell ref="A14:E14"/>
    <mergeCell ref="A15:E15"/>
    <mergeCell ref="A16:E16"/>
    <mergeCell ref="A18:G18"/>
    <mergeCell ref="A19:C19"/>
    <mergeCell ref="A20:B20"/>
    <mergeCell ref="A21:B21"/>
    <mergeCell ref="A22:B22"/>
    <mergeCell ref="A23:B23"/>
    <mergeCell ref="A30:B30"/>
    <mergeCell ref="A12:E12"/>
    <mergeCell ref="B1:E1"/>
    <mergeCell ref="B2:F2"/>
    <mergeCell ref="A3:E3"/>
    <mergeCell ref="A4:E4"/>
    <mergeCell ref="A5:E5"/>
    <mergeCell ref="A6:E6"/>
    <mergeCell ref="A7:E7"/>
    <mergeCell ref="A8:E8"/>
    <mergeCell ref="A9:G9"/>
    <mergeCell ref="A10:E10"/>
    <mergeCell ref="A11:E11"/>
  </mergeCells>
  <conditionalFormatting sqref="F46:F49">
    <cfRule type="expression" dxfId="223" priority="3">
      <formula>$A46=" "</formula>
    </cfRule>
  </conditionalFormatting>
  <conditionalFormatting sqref="B24:B29 C21:E29">
    <cfRule type="expression" dxfId="222" priority="2">
      <formula>$A21="entfällt"</formula>
    </cfRule>
    <cfRule type="expression" dxfId="221" priority="4">
      <formula>$H$2&gt;14</formula>
    </cfRule>
  </conditionalFormatting>
  <conditionalFormatting sqref="B24:B29">
    <cfRule type="expression" dxfId="220" priority="1">
      <formula>AND($A24="TN",$C24&lt;&gt;"")</formula>
    </cfRule>
  </conditionalFormatting>
  <dataValidations count="19">
    <dataValidation type="decimal" errorStyle="warning" allowBlank="1" showInputMessage="1" showErrorMessage="1" error="Eingegebener Abzug überschreitet maximal zulässigen Abzug, Wert bitte überprüfen!" sqref="F21:F35" xr:uid="{6F711C02-0170-4127-AED2-51115D87F12C}">
      <formula1>0</formula1>
      <formula2>$E21</formula2>
    </dataValidation>
    <dataValidation type="list" allowBlank="1" showInputMessage="1" showErrorMessage="1" sqref="C20" xr:uid="{5C5D4479-CF83-433D-81E6-31AA67D8125D}">
      <formula1>"Lichtschranke,Druckmessplatte"</formula1>
    </dataValidation>
    <dataValidation type="whole" allowBlank="1" showInputMessage="1" showErrorMessage="1" errorTitle="Falsche Eingabe" error="Bitte Wert prüfen" sqref="D17" xr:uid="{ECE46FED-4695-4906-B4E9-B784201A5772}">
      <formula1>1</formula1>
      <formula2>13</formula2>
    </dataValidation>
    <dataValidation type="list" allowBlank="1" showInputMessage="1" sqref="C24:C29" xr:uid="{B25BB131-1D79-4F31-B3EE-9972CA7C5443}">
      <formula1>INDIRECT($C$61)</formula1>
    </dataValidation>
    <dataValidation type="list" allowBlank="1" showInputMessage="1" sqref="C21:C23" xr:uid="{EE3F5BF9-D875-484A-967F-24E0B42C496C}">
      <formula1>INDIRECT($C$58)</formula1>
    </dataValidation>
    <dataValidation allowBlank="1" showInputMessage="1" showErrorMessage="1" prompt="Anzahl der Wiederholungen" sqref="F11" xr:uid="{1502F85A-1498-429A-8074-5DC781107D7D}"/>
    <dataValidation type="whole" allowBlank="1" showInputMessage="1" showErrorMessage="1" prompt="Abstand von der Oberkante des Turnhockers zur schlechtesten Fingerspitze in cm" sqref="F6" xr:uid="{E8F71BE3-EE41-463A-9949-C78F87F840EE}">
      <formula1>-50</formula1>
      <formula2>50</formula2>
    </dataValidation>
    <dataValidation type="list" allowBlank="1" showInputMessage="1" showErrorMessage="1" prompt="Punktzahl nach Vergleich mit Bild" sqref="F5" xr:uid="{2C93512A-8988-44F1-BAF6-3B146CEB3E84}">
      <formula1>"0,2,6,10"</formula1>
    </dataValidation>
    <dataValidation type="whole" allowBlank="1" showErrorMessage="1" errorTitle="Falsche Eingabe" error="Bitte Wert prüfen" prompt="Höchste erreichte Stufe" sqref="F17" xr:uid="{C800337A-BE6D-4A83-879D-D4A209473EA2}">
      <formula1>1</formula1>
      <formula2>11</formula2>
    </dataValidation>
    <dataValidation allowBlank="1" sqref="D20:E20" xr:uid="{1EF69ED8-CEEA-4DD6-949C-B266FC3138ED}"/>
    <dataValidation type="decimal" errorStyle="warning" allowBlank="1" showInputMessage="1" showErrorMessage="1" error="Abzug höher als Wert des Elements, bitte überprüfen!" prompt="Abzug" sqref="F38:F49" xr:uid="{8AEC1210-E2AB-4F8D-8477-0C6FFF2A7F30}">
      <formula1>0</formula1>
      <formula2>$E38</formula2>
    </dataValidation>
    <dataValidation type="whole" allowBlank="1" showInputMessage="1" showErrorMessage="1" prompt="AKs 9 - 13: Übersprungene Kästchen_x000a__x000a_AKs 14 - 21: Anzahl Saltos" sqref="F15" xr:uid="{29A61ED6-4D23-4FA9-8348-52F9421AEDC6}">
      <formula1>0</formula1>
      <formula2>50</formula2>
    </dataValidation>
    <dataValidation type="list" allowBlank="1" showInputMessage="1" showErrorMessage="1" sqref="F1" xr:uid="{0C9A2702-21BC-42FA-995F-9FB1655197CF}">
      <formula1>"männlich,weiblich"</formula1>
    </dataValidation>
    <dataValidation type="whole" allowBlank="1" showInputMessage="1" showErrorMessage="1" sqref="H4:H8" xr:uid="{C46BB84E-B65F-4142-A73B-D9DEF8DAE011}">
      <formula1>0</formula1>
      <formula2>10</formula2>
    </dataValidation>
    <dataValidation type="whole" allowBlank="1" showInputMessage="1" showErrorMessage="1" prompt="Haltezeit in Sekunden" sqref="F13" xr:uid="{1DB45A49-7B13-4B17-9B67-9EE151810EE0}">
      <formula1>0</formula1>
      <formula2>200</formula2>
    </dataValidation>
    <dataValidation type="whole" allowBlank="1" showInputMessage="1" showErrorMessage="1" prompt="Haltezeit in Sekunden" sqref="F16" xr:uid="{B7B34221-31F8-4966-ABDB-1CC21A24427D}">
      <formula1>0</formula1>
      <formula2>100</formula2>
    </dataValidation>
    <dataValidation type="whole" allowBlank="1" showInputMessage="1" showErrorMessage="1" prompt="Anzahl der Wiederholungen" sqref="F14 F12" xr:uid="{2CA2EBB0-5EDB-46D9-A81A-E347FE347023}">
      <formula1>0</formula1>
      <formula2>50</formula2>
    </dataValidation>
    <dataValidation type="list" operator="equal" allowBlank="1" showInputMessage="1" showErrorMessage="1" prompt="Punktzahl nach Vergleich mit Bild" sqref="F4" xr:uid="{8850D78A-B8DB-476C-BD05-A64A210153AC}">
      <formula1>"0,2,6,10"</formula1>
    </dataValidation>
    <dataValidation type="decimal" errorStyle="warning" showDropDown="1" showErrorMessage="1" error="Wert unrealistisch hoch, bitte Eingabe überprüfen" promptTitle="Vorsicht" sqref="F20" xr:uid="{764ADDCE-2675-4B4F-974F-5EB250B99603}">
      <formula1>0</formula1>
      <formula2>30</formula2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Bitte Werte aus Dropdown auswählen" prompt="Abstand vom Boden laut Schablone" xr:uid="{D2DF027E-718C-4F73-A406-D5A742E26335}">
          <x14:formula1>
            <xm:f>Punktetabellen!$A$3:$A$6</xm:f>
          </x14:formula1>
          <xm:sqref>F7:F8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5D2A9-99E5-487F-9C99-CE596828C273}">
  <sheetPr codeName="Tabelle21">
    <tabColor indexed="47"/>
    <pageSetUpPr fitToPage="1"/>
  </sheetPr>
  <dimension ref="A1:J70"/>
  <sheetViews>
    <sheetView zoomScale="85" zoomScaleNormal="85" workbookViewId="0">
      <pane ySplit="2" topLeftCell="A24" activePane="bottomLeft" state="frozen"/>
      <selection sqref="A1:H1"/>
      <selection pane="bottomLeft" activeCell="C20" sqref="C20"/>
    </sheetView>
  </sheetViews>
  <sheetFormatPr baseColWidth="10" defaultColWidth="0" defaultRowHeight="14.5" zeroHeight="1" outlineLevelRow="1" x14ac:dyDescent="0.35"/>
  <cols>
    <col min="1" max="1" width="11.453125" customWidth="1"/>
    <col min="2" max="2" width="12.1796875" customWidth="1"/>
    <col min="3" max="3" width="44.81640625" bestFit="1" customWidth="1"/>
    <col min="4" max="5" width="11.453125" style="148" customWidth="1"/>
    <col min="6" max="6" width="16.1796875" style="148" bestFit="1" customWidth="1"/>
    <col min="7" max="7" width="13.81640625" style="148" customWidth="1"/>
    <col min="8" max="8" width="11.453125" customWidth="1"/>
    <col min="9" max="9" width="6.1796875" style="23" hidden="1" customWidth="1"/>
    <col min="10" max="10" width="0" hidden="1" customWidth="1"/>
    <col min="11" max="16384" width="11.453125" hidden="1"/>
  </cols>
  <sheetData>
    <row r="1" spans="1:8" ht="15.5" x14ac:dyDescent="0.35">
      <c r="A1" s="16" t="s">
        <v>1</v>
      </c>
      <c r="B1" s="186" t="s">
        <v>369</v>
      </c>
      <c r="C1" s="187"/>
      <c r="D1" s="187"/>
      <c r="E1" s="188"/>
      <c r="F1" s="51" t="s">
        <v>97</v>
      </c>
      <c r="G1" s="61" t="s">
        <v>24</v>
      </c>
      <c r="H1" s="63">
        <v>2004</v>
      </c>
    </row>
    <row r="2" spans="1:8" ht="16" thickBot="1" x14ac:dyDescent="0.4">
      <c r="A2" s="17" t="s">
        <v>4</v>
      </c>
      <c r="B2" s="198" t="s">
        <v>370</v>
      </c>
      <c r="C2" s="199"/>
      <c r="D2" s="199"/>
      <c r="E2" s="199"/>
      <c r="F2" s="200"/>
      <c r="G2" s="62" t="s">
        <v>3</v>
      </c>
      <c r="H2" s="64">
        <f>2022-H1</f>
        <v>18</v>
      </c>
    </row>
    <row r="3" spans="1:8" ht="15" outlineLevel="1" thickBot="1" x14ac:dyDescent="0.4">
      <c r="A3" s="189" t="s">
        <v>26</v>
      </c>
      <c r="B3" s="190"/>
      <c r="C3" s="190"/>
      <c r="D3" s="190"/>
      <c r="E3" s="191"/>
      <c r="F3" s="46" t="s">
        <v>27</v>
      </c>
      <c r="G3" s="47" t="s">
        <v>28</v>
      </c>
      <c r="H3" s="22" t="s">
        <v>234</v>
      </c>
    </row>
    <row r="4" spans="1:8" outlineLevel="1" x14ac:dyDescent="0.35">
      <c r="A4" s="192" t="s">
        <v>30</v>
      </c>
      <c r="B4" s="193"/>
      <c r="C4" s="193"/>
      <c r="D4" s="193"/>
      <c r="E4" s="194"/>
      <c r="F4" s="25">
        <v>10</v>
      </c>
      <c r="G4" s="55" t="s">
        <v>32</v>
      </c>
      <c r="H4" s="34">
        <f>F4</f>
        <v>10</v>
      </c>
    </row>
    <row r="5" spans="1:8" outlineLevel="1" x14ac:dyDescent="0.35">
      <c r="A5" s="195" t="s">
        <v>85</v>
      </c>
      <c r="B5" s="196"/>
      <c r="C5" s="196"/>
      <c r="D5" s="196"/>
      <c r="E5" s="197"/>
      <c r="F5" s="14">
        <v>6</v>
      </c>
      <c r="G5" s="56" t="s">
        <v>32</v>
      </c>
      <c r="H5" s="35">
        <f>F5</f>
        <v>6</v>
      </c>
    </row>
    <row r="6" spans="1:8" outlineLevel="1" x14ac:dyDescent="0.35">
      <c r="A6" s="195" t="s">
        <v>33</v>
      </c>
      <c r="B6" s="196"/>
      <c r="C6" s="196"/>
      <c r="D6" s="196"/>
      <c r="E6" s="197"/>
      <c r="F6" s="14">
        <v>20</v>
      </c>
      <c r="G6" s="56" t="s">
        <v>31</v>
      </c>
      <c r="H6" s="35">
        <f>IF(F6="",0,VLOOKUP(F6,Punktetabellen!A10:B15,2,1))</f>
        <v>10</v>
      </c>
    </row>
    <row r="7" spans="1:8" outlineLevel="1" x14ac:dyDescent="0.35">
      <c r="A7" s="195" t="s">
        <v>34</v>
      </c>
      <c r="B7" s="196"/>
      <c r="C7" s="196"/>
      <c r="D7" s="196"/>
      <c r="E7" s="197"/>
      <c r="F7" s="14">
        <v>0</v>
      </c>
      <c r="G7" s="56" t="s">
        <v>31</v>
      </c>
      <c r="H7" s="35">
        <f>IF(F7="",0,VLOOKUP(F7,Punktetabellen!A3:B6,2,0))</f>
        <v>5</v>
      </c>
    </row>
    <row r="8" spans="1:8" ht="15" outlineLevel="1" thickBot="1" x14ac:dyDescent="0.4">
      <c r="A8" s="204" t="s">
        <v>35</v>
      </c>
      <c r="B8" s="205"/>
      <c r="C8" s="205"/>
      <c r="D8" s="205"/>
      <c r="E8" s="206"/>
      <c r="F8" s="41">
        <v>0</v>
      </c>
      <c r="G8" s="57" t="s">
        <v>31</v>
      </c>
      <c r="H8" s="36">
        <f>IF(F8="",0,VLOOKUP(F8,Punktetabellen!A3:B6,2,0))</f>
        <v>5</v>
      </c>
    </row>
    <row r="9" spans="1:8" ht="15" thickBot="1" x14ac:dyDescent="0.4">
      <c r="A9" s="210" t="s">
        <v>36</v>
      </c>
      <c r="B9" s="211"/>
      <c r="C9" s="211"/>
      <c r="D9" s="211"/>
      <c r="E9" s="211"/>
      <c r="F9" s="211"/>
      <c r="G9" s="211"/>
      <c r="H9" s="48">
        <f>SUM(H4:H8)</f>
        <v>36</v>
      </c>
    </row>
    <row r="10" spans="1:8" ht="15" outlineLevel="1" thickBot="1" x14ac:dyDescent="0.4">
      <c r="A10" s="189" t="s">
        <v>26</v>
      </c>
      <c r="B10" s="190"/>
      <c r="C10" s="190"/>
      <c r="D10" s="190"/>
      <c r="E10" s="191"/>
      <c r="F10" s="46" t="s">
        <v>27</v>
      </c>
      <c r="G10" s="47" t="s">
        <v>28</v>
      </c>
      <c r="H10" s="22" t="s">
        <v>234</v>
      </c>
    </row>
    <row r="11" spans="1:8" outlineLevel="1" x14ac:dyDescent="0.35">
      <c r="A11" s="207" t="s">
        <v>37</v>
      </c>
      <c r="B11" s="208"/>
      <c r="C11" s="208"/>
      <c r="D11" s="208"/>
      <c r="E11" s="209"/>
      <c r="F11" s="26">
        <v>8</v>
      </c>
      <c r="G11" s="58" t="s">
        <v>31</v>
      </c>
      <c r="H11" s="37">
        <f>IF($F11="",0,VLOOKUP($F11,Pkte_Klimmzug[],$H$2,1))</f>
        <v>3</v>
      </c>
    </row>
    <row r="12" spans="1:8" outlineLevel="1" x14ac:dyDescent="0.35">
      <c r="A12" s="201" t="s">
        <v>38</v>
      </c>
      <c r="B12" s="202"/>
      <c r="C12" s="202"/>
      <c r="D12" s="202"/>
      <c r="E12" s="203"/>
      <c r="F12" s="27">
        <v>6</v>
      </c>
      <c r="G12" s="59" t="s">
        <v>31</v>
      </c>
      <c r="H12" s="38">
        <f>IF($F12="",0,VLOOKUP($F12,Pkte_Beinheben[],$H$2,1))</f>
        <v>4</v>
      </c>
    </row>
    <row r="13" spans="1:8" outlineLevel="1" x14ac:dyDescent="0.35">
      <c r="A13" s="201" t="s">
        <v>88</v>
      </c>
      <c r="B13" s="202"/>
      <c r="C13" s="202"/>
      <c r="D13" s="202"/>
      <c r="E13" s="203"/>
      <c r="F13" s="27">
        <v>110</v>
      </c>
      <c r="G13" s="59" t="s">
        <v>31</v>
      </c>
      <c r="H13" s="38">
        <f>IF($F13="",0,VLOOKUP($F13,Pkte_Flieger[],$H$2,1))</f>
        <v>10</v>
      </c>
    </row>
    <row r="14" spans="1:8" outlineLevel="1" x14ac:dyDescent="0.35">
      <c r="A14" s="201" t="s">
        <v>39</v>
      </c>
      <c r="B14" s="202"/>
      <c r="C14" s="202"/>
      <c r="D14" s="202"/>
      <c r="E14" s="203"/>
      <c r="F14" s="27">
        <v>29</v>
      </c>
      <c r="G14" s="59" t="s">
        <v>31</v>
      </c>
      <c r="H14" s="38">
        <f>IF($F14="",0,VLOOKUP($F14,Pkte_Rollenverbindung[],$H$2,1))</f>
        <v>10</v>
      </c>
    </row>
    <row r="15" spans="1:8" outlineLevel="1" x14ac:dyDescent="0.35">
      <c r="A15" s="201" t="s">
        <v>89</v>
      </c>
      <c r="B15" s="202"/>
      <c r="C15" s="202"/>
      <c r="D15" s="202"/>
      <c r="E15" s="203"/>
      <c r="F15" s="27">
        <v>7</v>
      </c>
      <c r="G15" s="59" t="s">
        <v>31</v>
      </c>
      <c r="H15" s="38">
        <f>IF($F15="",0,VLOOKUP($F15,Pkte_Prellsprung[],$H$2,1))</f>
        <v>7</v>
      </c>
    </row>
    <row r="16" spans="1:8" outlineLevel="1" x14ac:dyDescent="0.35">
      <c r="A16" s="201" t="s">
        <v>90</v>
      </c>
      <c r="B16" s="202"/>
      <c r="C16" s="202"/>
      <c r="D16" s="202"/>
      <c r="E16" s="203"/>
      <c r="F16" s="28">
        <v>30</v>
      </c>
      <c r="G16" s="59" t="s">
        <v>31</v>
      </c>
      <c r="H16" s="38">
        <f>IF($F16="",0,VLOOKUP($F16,Pkte_Handstand[],$H$2,1))</f>
        <v>10</v>
      </c>
    </row>
    <row r="17" spans="1:8" ht="15" outlineLevel="1" thickBot="1" x14ac:dyDescent="0.4">
      <c r="A17" s="112" t="s">
        <v>93</v>
      </c>
      <c r="B17" s="113"/>
      <c r="C17" s="114" t="s">
        <v>269</v>
      </c>
      <c r="D17" s="29">
        <v>7</v>
      </c>
      <c r="E17" s="115" t="s">
        <v>270</v>
      </c>
      <c r="F17" s="29">
        <v>5</v>
      </c>
      <c r="G17" s="60" t="s">
        <v>31</v>
      </c>
      <c r="H17" s="39">
        <f>IF($F17="",0,IF($F$1="weiblich",VLOOKUP((100*$D17+$F17),Pkte_Shuttle_W[],$H$2,1),VLOOKUP((100*$D17+$F17),Pkte_Shuttle_M[],$H$2,1)))</f>
        <v>3</v>
      </c>
    </row>
    <row r="18" spans="1:8" ht="15" thickBot="1" x14ac:dyDescent="0.4">
      <c r="A18" s="161" t="s">
        <v>40</v>
      </c>
      <c r="B18" s="162"/>
      <c r="C18" s="162"/>
      <c r="D18" s="162"/>
      <c r="E18" s="162"/>
      <c r="F18" s="162"/>
      <c r="G18" s="162"/>
      <c r="H18" s="48">
        <f>SUM(H11:H17)</f>
        <v>47</v>
      </c>
    </row>
    <row r="19" spans="1:8" ht="15" outlineLevel="1" thickBot="1" x14ac:dyDescent="0.4">
      <c r="A19" s="159" t="s">
        <v>26</v>
      </c>
      <c r="B19" s="160"/>
      <c r="C19" s="160"/>
      <c r="D19" s="85" t="s">
        <v>235</v>
      </c>
      <c r="E19" s="85" t="s">
        <v>238</v>
      </c>
      <c r="F19" s="85" t="s">
        <v>236</v>
      </c>
      <c r="G19" s="86" t="s">
        <v>28</v>
      </c>
      <c r="H19" s="49" t="s">
        <v>234</v>
      </c>
    </row>
    <row r="20" spans="1:8" outlineLevel="1" x14ac:dyDescent="0.35">
      <c r="A20" s="167" t="s">
        <v>148</v>
      </c>
      <c r="B20" s="168"/>
      <c r="C20" s="116" t="str">
        <f>Infos!A10</f>
        <v>Druckmessplatte</v>
      </c>
      <c r="D20" s="90">
        <f>IF(F1="männlich",VLOOKUP(H2,Standsprünge!A3:C15,3,0),VLOOKUP(H2,Standsprünge!A3:B15,2,0))+IF(C20="Druckmessplatte",0)</f>
        <v>16.100000000000001</v>
      </c>
      <c r="E20" s="90"/>
      <c r="F20" s="67">
        <v>16.420000000000002</v>
      </c>
      <c r="G20" s="91" t="s">
        <v>149</v>
      </c>
      <c r="H20" s="88">
        <f>IF(F20="",0,(F20-D20)*10)</f>
        <v>3.2000000000000028</v>
      </c>
    </row>
    <row r="21" spans="1:8" outlineLevel="1" x14ac:dyDescent="0.35">
      <c r="A21" s="165" t="str">
        <f>IF(H2&gt;15,"entfällt","TBN")</f>
        <v>entfällt</v>
      </c>
      <c r="B21" s="166"/>
      <c r="C21" s="77"/>
      <c r="D21" s="78" t="str">
        <f ca="1">IF(C21="","",VLOOKUP(C21,INDIRECT($C$57),2,0))</f>
        <v/>
      </c>
      <c r="E21" s="78" t="str">
        <f ca="1">IF(C21="","",VLOOKUP(C21,INDIRECT($C$57),3,0))</f>
        <v/>
      </c>
      <c r="F21" s="42"/>
      <c r="G21" s="71" t="str">
        <f>IF(H2&gt;16,"entfällt","Wert - Abzug")</f>
        <v>entfällt</v>
      </c>
      <c r="H21" s="66">
        <f>IF(A21="entfällt",0,IF(F21="",0,D21-F21))</f>
        <v>0</v>
      </c>
    </row>
    <row r="22" spans="1:8" outlineLevel="1" x14ac:dyDescent="0.35">
      <c r="A22" s="165" t="str">
        <f>IF(H2&gt;15,"entfällt","TBN")</f>
        <v>entfällt</v>
      </c>
      <c r="B22" s="166"/>
      <c r="C22" s="77"/>
      <c r="D22" s="78" t="str">
        <f ca="1">IF(C22="","",VLOOKUP(C22,INDIRECT($C$57),2,0))</f>
        <v/>
      </c>
      <c r="E22" s="78" t="str">
        <f ca="1">IF(C22="","",VLOOKUP(C22,INDIRECT($C$57),3,0))</f>
        <v/>
      </c>
      <c r="F22" s="42"/>
      <c r="G22" s="71" t="str">
        <f>IF(H2&gt;16,"entfällt","Wert - Abzug")</f>
        <v>entfällt</v>
      </c>
      <c r="H22" s="66">
        <f t="shared" ref="H22:H28" si="0">IF(A22="entfällt",0,IF(F22="",0,D22-F22))</f>
        <v>0</v>
      </c>
    </row>
    <row r="23" spans="1:8" outlineLevel="1" x14ac:dyDescent="0.35">
      <c r="A23" s="165" t="str">
        <f>IF(H2&gt;11,"entfällt","TBN")</f>
        <v>entfällt</v>
      </c>
      <c r="B23" s="166"/>
      <c r="C23" s="77"/>
      <c r="D23" s="78" t="str">
        <f ca="1">IF(C23="","",VLOOKUP(C23,INDIRECT($C$57),2,0))</f>
        <v/>
      </c>
      <c r="E23" s="78" t="str">
        <f ca="1">IF(C23="","",VLOOKUP(C23,INDIRECT($C$57),3,0))</f>
        <v/>
      </c>
      <c r="F23" s="42"/>
      <c r="G23" s="71" t="str">
        <f>IF(H2&gt;16,"entfällt","Wert - Abzug")</f>
        <v>entfällt</v>
      </c>
      <c r="H23" s="66">
        <f t="shared" si="0"/>
        <v>0</v>
      </c>
    </row>
    <row r="24" spans="1:8" outlineLevel="1" x14ac:dyDescent="0.35">
      <c r="A24" s="110" t="s">
        <v>147</v>
      </c>
      <c r="B24" s="111"/>
      <c r="C24" s="77" t="s">
        <v>62</v>
      </c>
      <c r="D24" s="78">
        <v>15</v>
      </c>
      <c r="E24" s="78">
        <v>6</v>
      </c>
      <c r="F24" s="42">
        <v>2</v>
      </c>
      <c r="G24" s="71" t="s">
        <v>146</v>
      </c>
      <c r="H24" s="66">
        <f t="shared" si="0"/>
        <v>13</v>
      </c>
    </row>
    <row r="25" spans="1:8" outlineLevel="1" x14ac:dyDescent="0.35">
      <c r="A25" s="110" t="s">
        <v>147</v>
      </c>
      <c r="B25" s="111"/>
      <c r="C25" s="77" t="s">
        <v>60</v>
      </c>
      <c r="D25" s="78">
        <v>14</v>
      </c>
      <c r="E25" s="78">
        <v>6</v>
      </c>
      <c r="F25" s="42">
        <v>4</v>
      </c>
      <c r="G25" s="71" t="s">
        <v>146</v>
      </c>
      <c r="H25" s="66">
        <f t="shared" si="0"/>
        <v>10</v>
      </c>
    </row>
    <row r="26" spans="1:8" outlineLevel="1" x14ac:dyDescent="0.35">
      <c r="A26" s="110" t="s">
        <v>147</v>
      </c>
      <c r="B26" s="111"/>
      <c r="C26" s="77" t="s">
        <v>64</v>
      </c>
      <c r="D26" s="78">
        <v>15</v>
      </c>
      <c r="E26" s="78">
        <v>6</v>
      </c>
      <c r="F26" s="42">
        <v>4</v>
      </c>
      <c r="G26" s="71" t="s">
        <v>146</v>
      </c>
      <c r="H26" s="66">
        <f t="shared" si="0"/>
        <v>11</v>
      </c>
    </row>
    <row r="27" spans="1:8" outlineLevel="1" x14ac:dyDescent="0.35">
      <c r="A27" s="110" t="str">
        <f>IF(H2&gt;11,"TN","entfällt")</f>
        <v>TN</v>
      </c>
      <c r="B27" s="111"/>
      <c r="C27" s="77" t="s">
        <v>190</v>
      </c>
      <c r="D27" s="78">
        <v>14</v>
      </c>
      <c r="E27" s="78">
        <v>6</v>
      </c>
      <c r="F27" s="42">
        <v>4</v>
      </c>
      <c r="G27" s="71" t="str">
        <f>IF(H2&gt;12,"Wert - Abzug","entfällt")</f>
        <v>Wert - Abzug</v>
      </c>
      <c r="H27" s="66">
        <f t="shared" si="0"/>
        <v>10</v>
      </c>
    </row>
    <row r="28" spans="1:8" outlineLevel="1" x14ac:dyDescent="0.35">
      <c r="A28" s="110" t="str">
        <f>IF(H2&gt;15,"TN","entfällt")</f>
        <v>TN</v>
      </c>
      <c r="B28" s="111"/>
      <c r="C28" s="77"/>
      <c r="D28" s="78"/>
      <c r="E28" s="78"/>
      <c r="F28" s="42"/>
      <c r="G28" s="71" t="str">
        <f>IF(H2&gt;16,"Wert - Abzug","entfällt")</f>
        <v>Wert - Abzug</v>
      </c>
      <c r="H28" s="66">
        <f t="shared" si="0"/>
        <v>0</v>
      </c>
    </row>
    <row r="29" spans="1:8" outlineLevel="1" x14ac:dyDescent="0.35">
      <c r="A29" s="110" t="str">
        <f>IF(H2&gt;15,"TN","entfällt")</f>
        <v>TN</v>
      </c>
      <c r="B29" s="111"/>
      <c r="C29" s="77"/>
      <c r="D29" s="78"/>
      <c r="E29" s="78"/>
      <c r="F29" s="42"/>
      <c r="G29" s="71" t="str">
        <f>IF(H2&gt;16,"Wert - Abzug","entfällt")</f>
        <v>Wert - Abzug</v>
      </c>
      <c r="H29" s="66">
        <f>IF(A29="entfällt",0,IF(F29="",0,D29-F29))</f>
        <v>0</v>
      </c>
    </row>
    <row r="30" spans="1:8" outlineLevel="1" x14ac:dyDescent="0.35">
      <c r="A30" s="165" t="str">
        <f>IF($H$2&gt;10,"Verbindung Sprung 1","entfällt")</f>
        <v>Verbindung Sprung 1</v>
      </c>
      <c r="B30" s="166"/>
      <c r="C30" s="40" t="str">
        <f ca="1">IF(A30&lt;&gt;"entfällt",VLOOKUP(1,INDIRECT($C$68),2,0),"")</f>
        <v>803&lt;</v>
      </c>
      <c r="D30" s="40">
        <f ca="1">IF(A30&lt;&gt;"entfällt",VLOOKUP(1,INDIRECT($C$68),3,0),"")</f>
        <v>15</v>
      </c>
      <c r="E30" s="40">
        <f ca="1">IF(A30&lt;&gt;"entfällt",VLOOKUP(1,INDIRECT($C$68),4,0),"")</f>
        <v>3</v>
      </c>
      <c r="F30" s="42">
        <v>3</v>
      </c>
      <c r="G30" s="71" t="str">
        <f>IF(H2&gt;12,"Wert - Abzug","entfällt")</f>
        <v>Wert - Abzug</v>
      </c>
      <c r="H30" s="66"/>
    </row>
    <row r="31" spans="1:8" outlineLevel="1" x14ac:dyDescent="0.35">
      <c r="A31" s="165" t="str">
        <f>IF($H$2&gt;10,"Verbindung Sprung 2","entfällt")</f>
        <v>Verbindung Sprung 2</v>
      </c>
      <c r="B31" s="166"/>
      <c r="C31" s="40" t="str">
        <f ca="1">IF(A31&lt;&gt;"entfällt",VLOOKUP(2,INDIRECT($C$68),2,0),"")</f>
        <v>40&lt;</v>
      </c>
      <c r="D31" s="40">
        <f ca="1">IF(A31&lt;&gt;"entfällt",VLOOKUP(2,INDIRECT($C$68),3,0),"")</f>
        <v>6</v>
      </c>
      <c r="E31" s="40">
        <f ca="1">IF(A31&lt;&gt;"entfällt",VLOOKUP(2,INDIRECT($C$68),4,0),"")</f>
        <v>3</v>
      </c>
      <c r="F31" s="42">
        <v>2</v>
      </c>
      <c r="G31" s="71" t="str">
        <f>IF(H2&gt;12,"Wert - Abzug","entfällt")</f>
        <v>Wert - Abzug</v>
      </c>
      <c r="H31" s="66"/>
    </row>
    <row r="32" spans="1:8" outlineLevel="1" x14ac:dyDescent="0.35">
      <c r="A32" s="165" t="str">
        <f>IF($H$2&gt;10,"Verbindung Sprung 3","entfällt")</f>
        <v>Verbindung Sprung 3</v>
      </c>
      <c r="B32" s="166"/>
      <c r="C32" s="40" t="str">
        <f ca="1">IF(A32&lt;&gt;"entfällt",VLOOKUP(3,INDIRECT($C$68),2,0),"")</f>
        <v>801&lt;</v>
      </c>
      <c r="D32" s="40">
        <f ca="1">IF(A32&lt;&gt;"entfällt",VLOOKUP(3,INDIRECT($C$68),3,0),"")</f>
        <v>13</v>
      </c>
      <c r="E32" s="40">
        <f ca="1">IF(A32&lt;&gt;"entfällt",VLOOKUP(3,INDIRECT($C$68),4,0),"")</f>
        <v>3</v>
      </c>
      <c r="F32" s="42">
        <v>2</v>
      </c>
      <c r="G32" s="71" t="str">
        <f>IF(H2&gt;12,"Wert - Abzug","entfällt")</f>
        <v>Wert - Abzug</v>
      </c>
      <c r="H32" s="66"/>
    </row>
    <row r="33" spans="1:8" outlineLevel="1" x14ac:dyDescent="0.35">
      <c r="A33" s="165" t="str">
        <f>IF($H$2&gt;10,"Verbindung Sprung 4","entfällt")</f>
        <v>Verbindung Sprung 4</v>
      </c>
      <c r="B33" s="166"/>
      <c r="C33" s="40" t="str">
        <f ca="1">IF(A33&lt;&gt;"entfällt",VLOOKUP(4,INDIRECT($C$68),2,0),"")</f>
        <v>40/</v>
      </c>
      <c r="D33" s="40">
        <f ca="1">IF(A33&lt;&gt;"entfällt",VLOOKUP(4,INDIRECT($C$68),3,0),"")</f>
        <v>6</v>
      </c>
      <c r="E33" s="40">
        <f ca="1">IF(A33&lt;&gt;"entfällt",VLOOKUP(4,INDIRECT($C$68),4,0),"")</f>
        <v>3</v>
      </c>
      <c r="F33" s="42">
        <v>0</v>
      </c>
      <c r="G33" s="71" t="str">
        <f>IF(H2&gt;12,"Wert - Abzug","entfällt")</f>
        <v>Wert - Abzug</v>
      </c>
      <c r="H33" s="66"/>
    </row>
    <row r="34" spans="1:8" outlineLevel="1" x14ac:dyDescent="0.35">
      <c r="A34" s="165" t="str">
        <f>IF($H$2&gt;10,"Verbindung Sprung 5","entfällt")</f>
        <v>Verbindung Sprung 5</v>
      </c>
      <c r="B34" s="166"/>
      <c r="C34" s="40" t="str">
        <f ca="1">IF(A34&lt;&gt;"entfällt",VLOOKUP(5,INDIRECT($C$68),2,0),"")</f>
        <v>41/</v>
      </c>
      <c r="D34" s="40">
        <f ca="1">IF(A34&lt;&gt;"entfällt",VLOOKUP(5,INDIRECT($C$68),3,0),"")</f>
        <v>6</v>
      </c>
      <c r="E34" s="40">
        <f ca="1">IF(A34&lt;&gt;"entfällt",VLOOKUP(5,INDIRECT($C$68),4,0),"")</f>
        <v>3</v>
      </c>
      <c r="F34" s="42">
        <v>2</v>
      </c>
      <c r="G34" s="71" t="str">
        <f>IF(H2&gt;12,"Wert - Abzug","entfällt")</f>
        <v>Wert - Abzug</v>
      </c>
      <c r="H34" s="66"/>
    </row>
    <row r="35" spans="1:8" ht="15" outlineLevel="1" thickBot="1" x14ac:dyDescent="0.4">
      <c r="A35" s="171" t="str">
        <f>IF($H$2&gt;10,"Verbindung Sprung 6","entfällt")</f>
        <v>Verbindung Sprung 6</v>
      </c>
      <c r="B35" s="172"/>
      <c r="C35" s="68" t="str">
        <f ca="1">IF(A35&lt;&gt;"entfällt",VLOOKUP(6,INDIRECT($C$68),2,0),"")</f>
        <v>811°</v>
      </c>
      <c r="D35" s="68">
        <f ca="1">IF(A35&lt;&gt;"entfällt",VLOOKUP(6,INDIRECT($C$68),3,0),"")</f>
        <v>12</v>
      </c>
      <c r="E35" s="68">
        <f ca="1">IF(A35&lt;&gt;"entfällt",VLOOKUP(6,INDIRECT($C$68),4,0),"")</f>
        <v>3</v>
      </c>
      <c r="F35" s="69">
        <v>3</v>
      </c>
      <c r="G35" s="72" t="str">
        <f>IF(H2&gt;12,"Wert - Abzug","entfällt")</f>
        <v>Wert - Abzug</v>
      </c>
      <c r="H35" s="70">
        <f>30-F30-F31-F32-F33-F34-F35</f>
        <v>18</v>
      </c>
    </row>
    <row r="36" spans="1:8" ht="15" thickBot="1" x14ac:dyDescent="0.4">
      <c r="A36" s="173" t="s">
        <v>41</v>
      </c>
      <c r="B36" s="174"/>
      <c r="C36" s="174"/>
      <c r="D36" s="174"/>
      <c r="E36" s="174"/>
      <c r="F36" s="174"/>
      <c r="G36" s="175"/>
      <c r="H36" s="89">
        <f>SUM(H20:H35)</f>
        <v>65.2</v>
      </c>
    </row>
    <row r="37" spans="1:8" ht="15" outlineLevel="1" thickBot="1" x14ac:dyDescent="0.4">
      <c r="A37" s="181" t="s">
        <v>99</v>
      </c>
      <c r="B37" s="182"/>
      <c r="C37" s="182"/>
      <c r="D37" s="183"/>
      <c r="E37" s="85" t="s">
        <v>27</v>
      </c>
      <c r="F37" s="85" t="s">
        <v>237</v>
      </c>
      <c r="G37" s="86" t="s">
        <v>28</v>
      </c>
      <c r="H37" s="49" t="s">
        <v>234</v>
      </c>
    </row>
    <row r="38" spans="1:8" outlineLevel="1" x14ac:dyDescent="0.35">
      <c r="A38" s="179" t="str">
        <f ca="1">VLOOKUP(1,INDIRECT($C$65),2,0)</f>
        <v>Salto vorwärts gehockt aus dem Stand</v>
      </c>
      <c r="B38" s="180"/>
      <c r="C38" s="180"/>
      <c r="D38" s="180"/>
      <c r="E38" s="92">
        <f ca="1">VLOOKUP(1,INDIRECT($C$65),3,0)</f>
        <v>5</v>
      </c>
      <c r="F38" s="79"/>
      <c r="G38" s="80" t="s">
        <v>146</v>
      </c>
      <c r="H38" s="84">
        <f ca="1">IF(E38=" ","",IF(F38="",0,E38-F38))</f>
        <v>0</v>
      </c>
    </row>
    <row r="39" spans="1:8" outlineLevel="1" x14ac:dyDescent="0.35">
      <c r="A39" s="163" t="str">
        <f ca="1">VLOOKUP(2,INDIRECT($C$65),2,0)</f>
        <v>Vorspreizen, Bestellschritt, Strecksprung 3/2 Drehung</v>
      </c>
      <c r="B39" s="164"/>
      <c r="C39" s="164"/>
      <c r="D39" s="164"/>
      <c r="E39" s="87">
        <f ca="1">VLOOKUP(2,INDIRECT($C$65),3,0)</f>
        <v>3</v>
      </c>
      <c r="F39" s="43"/>
      <c r="G39" s="81" t="s">
        <v>146</v>
      </c>
      <c r="H39" s="84">
        <f t="shared" ref="H39:H49" ca="1" si="1">IF(E39=" ","",IF(F39="",0,E39-F39))</f>
        <v>0</v>
      </c>
    </row>
    <row r="40" spans="1:8" outlineLevel="1" x14ac:dyDescent="0.35">
      <c r="A40" s="163" t="str">
        <f ca="1">VLOOKUP(3,INDIRECT($C$65),2,0)</f>
        <v>Rolle rückwärts durch Handstand mit 1/2 Drehung</v>
      </c>
      <c r="B40" s="164"/>
      <c r="C40" s="164"/>
      <c r="D40" s="164"/>
      <c r="E40" s="87">
        <f ca="1">VLOOKUP(3,INDIRECT($C$65),3,0)</f>
        <v>4</v>
      </c>
      <c r="F40" s="43"/>
      <c r="G40" s="81" t="s">
        <v>146</v>
      </c>
      <c r="H40" s="84">
        <f t="shared" ca="1" si="1"/>
        <v>0</v>
      </c>
    </row>
    <row r="41" spans="1:8" outlineLevel="1" x14ac:dyDescent="0.35">
      <c r="A41" s="163" t="str">
        <f ca="1">VLOOKUP(4,INDIRECT($C$65),2,0)</f>
        <v>--&gt; Strecksprung --&gt; Salto vorwärts gehockt</v>
      </c>
      <c r="B41" s="164"/>
      <c r="C41" s="164"/>
      <c r="D41" s="164"/>
      <c r="E41" s="87">
        <f ca="1">VLOOKUP(4,INDIRECT($C$65),3,0)</f>
        <v>4</v>
      </c>
      <c r="F41" s="43"/>
      <c r="G41" s="81" t="s">
        <v>146</v>
      </c>
      <c r="H41" s="84">
        <f t="shared" ca="1" si="1"/>
        <v>0</v>
      </c>
    </row>
    <row r="42" spans="1:8" outlineLevel="1" x14ac:dyDescent="0.35">
      <c r="A42" s="163" t="str">
        <f ca="1">VLOOKUP(5,INDIRECT($C$65),2,0)</f>
        <v>Wiener, 1/2 Drehung, absenken zum Stand</v>
      </c>
      <c r="B42" s="164"/>
      <c r="C42" s="164"/>
      <c r="D42" s="164"/>
      <c r="E42" s="87">
        <f ca="1">VLOOKUP(5,INDIRECT($C$65),3,0)</f>
        <v>4</v>
      </c>
      <c r="F42" s="43"/>
      <c r="G42" s="81" t="s">
        <v>146</v>
      </c>
      <c r="H42" s="84">
        <f t="shared" ca="1" si="1"/>
        <v>0</v>
      </c>
    </row>
    <row r="43" spans="1:8" outlineLevel="1" x14ac:dyDescent="0.35">
      <c r="A43" s="163" t="str">
        <f ca="1">VLOOKUP(6,INDIRECT($C$65),2,0)</f>
        <v>Handstand mit zwei Hüpfern, abrollen</v>
      </c>
      <c r="B43" s="164"/>
      <c r="C43" s="164"/>
      <c r="D43" s="164"/>
      <c r="E43" s="87">
        <f ca="1">VLOOKUP(6,INDIRECT($C$65),3,0)</f>
        <v>2</v>
      </c>
      <c r="F43" s="43"/>
      <c r="G43" s="81" t="s">
        <v>146</v>
      </c>
      <c r="H43" s="84">
        <f t="shared" ca="1" si="1"/>
        <v>0</v>
      </c>
    </row>
    <row r="44" spans="1:8" outlineLevel="1" x14ac:dyDescent="0.35">
      <c r="A44" s="163" t="str">
        <f ca="1">VLOOKUP(7,INDIRECT($C$65),2,0)</f>
        <v>--&gt; aufstehen mit gestreckten Beinen</v>
      </c>
      <c r="B44" s="164"/>
      <c r="C44" s="164"/>
      <c r="D44" s="164"/>
      <c r="E44" s="87">
        <f ca="1">VLOOKUP(7,INDIRECT($C$65),3,0)</f>
        <v>3</v>
      </c>
      <c r="F44" s="43"/>
      <c r="G44" s="81" t="s">
        <v>146</v>
      </c>
      <c r="H44" s="84">
        <f t="shared" ca="1" si="1"/>
        <v>0</v>
      </c>
    </row>
    <row r="45" spans="1:8" outlineLevel="1" x14ac:dyDescent="0.35">
      <c r="A45" s="163" t="str">
        <f ca="1">VLOOKUP(8,INDIRECT($C$65),2,0)</f>
        <v>Salto rückwärts gebückt</v>
      </c>
      <c r="B45" s="164"/>
      <c r="C45" s="164"/>
      <c r="D45" s="164"/>
      <c r="E45" s="87">
        <f ca="1">VLOOKUP(8,INDIRECT($C$65),3,0)</f>
        <v>5</v>
      </c>
      <c r="F45" s="43"/>
      <c r="G45" s="81" t="s">
        <v>146</v>
      </c>
      <c r="H45" s="84">
        <f t="shared" ca="1" si="1"/>
        <v>0</v>
      </c>
    </row>
    <row r="46" spans="1:8" outlineLevel="1" x14ac:dyDescent="0.35">
      <c r="A46" s="163" t="str">
        <f ca="1">VLOOKUP(9,INDIRECT($C$65),2,0)</f>
        <v xml:space="preserve"> </v>
      </c>
      <c r="B46" s="164"/>
      <c r="C46" s="164"/>
      <c r="D46" s="164"/>
      <c r="E46" s="87" t="str">
        <f ca="1">VLOOKUP(9,INDIRECT($C$65),3,0)</f>
        <v xml:space="preserve"> </v>
      </c>
      <c r="F46" s="43"/>
      <c r="G46" s="81" t="str">
        <f>IF(H2&gt;16,"","Wert - Abzug")</f>
        <v/>
      </c>
      <c r="H46" s="84" t="str">
        <f t="shared" ca="1" si="1"/>
        <v/>
      </c>
    </row>
    <row r="47" spans="1:8" outlineLevel="1" x14ac:dyDescent="0.35">
      <c r="A47" s="163" t="str">
        <f ca="1">VLOOKUP(10,INDIRECT($C$65),2,0)</f>
        <v xml:space="preserve"> </v>
      </c>
      <c r="B47" s="164"/>
      <c r="C47" s="164"/>
      <c r="D47" s="164"/>
      <c r="E47" s="87" t="str">
        <f ca="1">VLOOKUP(10,INDIRECT($C$65),3,0)</f>
        <v xml:space="preserve"> </v>
      </c>
      <c r="F47" s="43"/>
      <c r="G47" s="81" t="str">
        <f>IF(H2&gt;16,"","Wert - Abzug")</f>
        <v/>
      </c>
      <c r="H47" s="84" t="str">
        <f t="shared" ca="1" si="1"/>
        <v/>
      </c>
    </row>
    <row r="48" spans="1:8" outlineLevel="1" x14ac:dyDescent="0.35">
      <c r="A48" s="163" t="str">
        <f ca="1">VLOOKUP(11,INDIRECT($C$65),2,0)</f>
        <v xml:space="preserve"> </v>
      </c>
      <c r="B48" s="164"/>
      <c r="C48" s="164"/>
      <c r="D48" s="164"/>
      <c r="E48" s="87" t="str">
        <f ca="1">VLOOKUP(11,INDIRECT($C$65),3,0)</f>
        <v xml:space="preserve"> </v>
      </c>
      <c r="F48" s="43"/>
      <c r="G48" s="81" t="str">
        <f>IF(H2&gt;13,"","Wert - Abzug")</f>
        <v/>
      </c>
      <c r="H48" s="84" t="str">
        <f t="shared" ca="1" si="1"/>
        <v/>
      </c>
    </row>
    <row r="49" spans="1:8" ht="15" outlineLevel="1" thickBot="1" x14ac:dyDescent="0.4">
      <c r="A49" s="184" t="str">
        <f ca="1">VLOOKUP(12,INDIRECT($C$65),2,0)</f>
        <v xml:space="preserve"> </v>
      </c>
      <c r="B49" s="185"/>
      <c r="C49" s="185"/>
      <c r="D49" s="185"/>
      <c r="E49" s="93" t="str">
        <f ca="1">VLOOKUP(12,INDIRECT($C$65),3,0)</f>
        <v xml:space="preserve"> </v>
      </c>
      <c r="F49" s="82"/>
      <c r="G49" s="83" t="str">
        <f>IF(OR(H2=9,H2=12,H2=13),"Wert - Abzug","")</f>
        <v/>
      </c>
      <c r="H49" s="84" t="str">
        <f t="shared" ca="1" si="1"/>
        <v/>
      </c>
    </row>
    <row r="50" spans="1:8" ht="15" thickBot="1" x14ac:dyDescent="0.4">
      <c r="A50" s="176" t="s">
        <v>98</v>
      </c>
      <c r="B50" s="177"/>
      <c r="C50" s="177"/>
      <c r="D50" s="177"/>
      <c r="E50" s="177"/>
      <c r="F50" s="177"/>
      <c r="G50" s="178"/>
      <c r="H50" s="44">
        <f ca="1">SUM(H38:H49)</f>
        <v>0</v>
      </c>
    </row>
    <row r="51" spans="1:8" ht="16" thickBot="1" x14ac:dyDescent="0.4">
      <c r="A51" s="169" t="s">
        <v>42</v>
      </c>
      <c r="B51" s="170"/>
      <c r="C51" s="170"/>
      <c r="D51" s="170"/>
      <c r="E51" s="170"/>
      <c r="F51" s="170"/>
      <c r="G51" s="170"/>
      <c r="H51" s="94">
        <f ca="1">SUM(H9,H18,H36,H50)</f>
        <v>148.19999999999999</v>
      </c>
    </row>
    <row r="52" spans="1:8" s="23" customFormat="1" x14ac:dyDescent="0.35">
      <c r="D52" s="50"/>
      <c r="E52" s="50"/>
      <c r="F52" s="50"/>
      <c r="G52" s="50"/>
    </row>
    <row r="53" spans="1:8" s="23" customFormat="1" hidden="1" x14ac:dyDescent="0.35">
      <c r="C53" s="24"/>
      <c r="D53" s="50"/>
      <c r="E53" s="50"/>
      <c r="F53" s="50"/>
      <c r="G53" s="50"/>
    </row>
    <row r="54" spans="1:8" s="23" customFormat="1" hidden="1" x14ac:dyDescent="0.35">
      <c r="B54" s="23" t="s">
        <v>249</v>
      </c>
      <c r="C54" s="23" t="str">
        <f>IF(H2&lt;13,"beide",F1)</f>
        <v>weiblich</v>
      </c>
      <c r="D54" s="50"/>
      <c r="E54" s="50"/>
      <c r="F54" s="50"/>
      <c r="G54" s="50"/>
    </row>
    <row r="55" spans="1:8" s="23" customFormat="1" hidden="1" x14ac:dyDescent="0.35">
      <c r="B55" s="23" t="s">
        <v>3</v>
      </c>
      <c r="C55" s="23">
        <f>IF(OR(H2=8,H2=11),H2,IF(H2&lt;11,"9_10",IF(H2&lt;14,"12_13",IF(H2&lt;16,"14_15",IF(H2&lt;18,"16_17",18)))))</f>
        <v>18</v>
      </c>
      <c r="D55" s="50"/>
      <c r="E55" s="50"/>
      <c r="F55" s="50"/>
      <c r="G55" s="50"/>
    </row>
    <row r="56" spans="1:8" s="23" customFormat="1" hidden="1" x14ac:dyDescent="0.35">
      <c r="D56" s="50"/>
      <c r="E56" s="50"/>
      <c r="F56" s="50"/>
      <c r="G56" s="50"/>
    </row>
    <row r="57" spans="1:8" s="23" customFormat="1" hidden="1" x14ac:dyDescent="0.35">
      <c r="B57" s="23" t="s">
        <v>251</v>
      </c>
      <c r="C57" s="23" t="str">
        <f>"TBN_"&amp;C54&amp;"_"&amp;C55</f>
        <v>TBN_weiblich_18</v>
      </c>
      <c r="D57" s="50"/>
      <c r="E57" s="50"/>
      <c r="F57" s="50"/>
      <c r="G57" s="50"/>
    </row>
    <row r="58" spans="1:8" s="23" customFormat="1" hidden="1" x14ac:dyDescent="0.35">
      <c r="C58" s="23" t="str">
        <f>C57&amp;"[Beschreibung]"</f>
        <v>TBN_weiblich_18[Beschreibung]</v>
      </c>
      <c r="D58" s="50"/>
      <c r="E58" s="50"/>
      <c r="F58" s="50"/>
      <c r="G58" s="50"/>
    </row>
    <row r="59" spans="1:8" s="23" customFormat="1" hidden="1" x14ac:dyDescent="0.35">
      <c r="D59" s="50"/>
      <c r="E59" s="50"/>
      <c r="F59" s="50"/>
      <c r="G59" s="50"/>
    </row>
    <row r="60" spans="1:8" s="23" customFormat="1" hidden="1" x14ac:dyDescent="0.35">
      <c r="B60" s="23" t="s">
        <v>147</v>
      </c>
      <c r="C60" s="23" t="str">
        <f>"TN_"&amp;C54&amp;"_"&amp;C55</f>
        <v>TN_weiblich_18</v>
      </c>
      <c r="D60" s="50"/>
      <c r="E60" s="50"/>
      <c r="F60" s="50"/>
      <c r="G60" s="50"/>
    </row>
    <row r="61" spans="1:8" s="23" customFormat="1" hidden="1" x14ac:dyDescent="0.35">
      <c r="C61" s="23" t="str">
        <f>C60&amp;"[Beschreibung]"</f>
        <v>TN_weiblich_18[Beschreibung]</v>
      </c>
      <c r="D61" s="50"/>
      <c r="E61" s="50"/>
      <c r="F61" s="50"/>
      <c r="G61" s="50"/>
    </row>
    <row r="62" spans="1:8" s="23" customFormat="1" hidden="1" x14ac:dyDescent="0.35">
      <c r="D62" s="50"/>
      <c r="E62" s="50"/>
      <c r="F62" s="50"/>
      <c r="G62" s="50"/>
    </row>
    <row r="63" spans="1:8" s="23" customFormat="1" hidden="1" x14ac:dyDescent="0.35">
      <c r="B63" s="23" t="s">
        <v>17</v>
      </c>
      <c r="C63" s="23" t="str">
        <f>"TV_"&amp;F1&amp;"_"&amp;C55</f>
        <v>TV_weiblich_18</v>
      </c>
      <c r="D63" s="50"/>
      <c r="E63" s="50"/>
      <c r="F63" s="50"/>
      <c r="G63" s="50"/>
    </row>
    <row r="64" spans="1:8" s="23" customFormat="1" hidden="1" x14ac:dyDescent="0.35">
      <c r="D64" s="50"/>
      <c r="E64" s="50"/>
      <c r="F64" s="50"/>
      <c r="G64" s="50"/>
    </row>
    <row r="65" spans="2:7" s="23" customFormat="1" hidden="1" x14ac:dyDescent="0.35">
      <c r="B65" s="23" t="s">
        <v>252</v>
      </c>
      <c r="C65" s="23" t="str">
        <f>"BKÜ"&amp;IF(H2=9,"_9",IF(H2&lt;12,"_10_11",IF(H2&lt;14,"_12_13",IF(H2&lt;17,"_14_16","_17"))))</f>
        <v>BKÜ_17</v>
      </c>
      <c r="D65" s="50"/>
      <c r="E65" s="50"/>
      <c r="F65" s="50"/>
      <c r="G65" s="50"/>
    </row>
    <row r="66" spans="2:7" s="23" customFormat="1" hidden="1" x14ac:dyDescent="0.35">
      <c r="D66" s="50"/>
      <c r="E66" s="50"/>
      <c r="F66" s="50"/>
      <c r="G66" s="50"/>
    </row>
    <row r="67" spans="2:7" s="23" customFormat="1" hidden="1" x14ac:dyDescent="0.35">
      <c r="B67" s="23" t="s">
        <v>250</v>
      </c>
      <c r="C67" s="23" t="str">
        <f>IF(H2&lt;17,"beide",F1)</f>
        <v>weiblich</v>
      </c>
      <c r="D67" s="50"/>
      <c r="E67" s="50"/>
      <c r="F67" s="50"/>
      <c r="G67" s="50"/>
    </row>
    <row r="68" spans="2:7" s="23" customFormat="1" hidden="1" x14ac:dyDescent="0.35">
      <c r="B68" s="23" t="s">
        <v>17</v>
      </c>
      <c r="C68" s="23" t="str">
        <f>"TV_"&amp;C67&amp;"_"&amp;C55</f>
        <v>TV_weiblich_18</v>
      </c>
      <c r="D68" s="50"/>
      <c r="E68" s="50"/>
      <c r="F68" s="50"/>
      <c r="G68" s="50"/>
    </row>
    <row r="69" spans="2:7" x14ac:dyDescent="0.35"/>
    <row r="70" spans="2:7" x14ac:dyDescent="0.35"/>
  </sheetData>
  <sheetProtection algorithmName="SHA-512" hashValue="kN7iImffre03jtHnrJke+Dt8pafMNpI/MC0j5NrUTJDyk0EHxm1+EjPjEQCQcXm1w1xeG+zDILFnqQHLBuHrVQ==" saltValue="1HH8GKGbgPXdfyyyd6y5CA==" spinCount="100000" sheet="1" objects="1" scenarios="1" selectLockedCells="1"/>
  <protectedRanges>
    <protectedRange sqref="H1:H2 F1:F2 B1:B2" name="Athletendaten"/>
    <protectedRange sqref="F38:F49 C20:F35 D69:E440 C69:C441 F4:F8 C38:E68 C11:E16 F11:F17" name="Werte und Varianten"/>
    <protectedRange algorithmName="SHA-512" hashValue="EtPG7jm6pk6JVG08ToKZL4Sto4PS6TOUsygvFmj6DTfcGnX6DwKdfjTEg/2X1Hwnu/CwfNhBUSnXKs/oLqcupQ==" saltValue="sPse4fdTsI5OFESYvRIl8Q==" spinCount="100000" sqref="H4:H8 H38:H49 H20:H35 H11:H17" name="Punktzahlen"/>
  </protectedRanges>
  <mergeCells count="44">
    <mergeCell ref="A50:G50"/>
    <mergeCell ref="A51:G51"/>
    <mergeCell ref="A44:D44"/>
    <mergeCell ref="A45:D45"/>
    <mergeCell ref="A46:D46"/>
    <mergeCell ref="A47:D47"/>
    <mergeCell ref="A48:D48"/>
    <mergeCell ref="A49:D49"/>
    <mergeCell ref="A43:D43"/>
    <mergeCell ref="A32:B32"/>
    <mergeCell ref="A33:B33"/>
    <mergeCell ref="A34:B34"/>
    <mergeCell ref="A35:B35"/>
    <mergeCell ref="A36:G36"/>
    <mergeCell ref="A37:D37"/>
    <mergeCell ref="A38:D38"/>
    <mergeCell ref="A39:D39"/>
    <mergeCell ref="A40:D40"/>
    <mergeCell ref="A41:D41"/>
    <mergeCell ref="A42:D42"/>
    <mergeCell ref="A31:B31"/>
    <mergeCell ref="A13:E13"/>
    <mergeCell ref="A14:E14"/>
    <mergeCell ref="A15:E15"/>
    <mergeCell ref="A16:E16"/>
    <mergeCell ref="A18:G18"/>
    <mergeCell ref="A19:C19"/>
    <mergeCell ref="A20:B20"/>
    <mergeCell ref="A21:B21"/>
    <mergeCell ref="A22:B22"/>
    <mergeCell ref="A23:B23"/>
    <mergeCell ref="A30:B30"/>
    <mergeCell ref="A12:E12"/>
    <mergeCell ref="B1:E1"/>
    <mergeCell ref="B2:F2"/>
    <mergeCell ref="A3:E3"/>
    <mergeCell ref="A4:E4"/>
    <mergeCell ref="A5:E5"/>
    <mergeCell ref="A6:E6"/>
    <mergeCell ref="A7:E7"/>
    <mergeCell ref="A8:E8"/>
    <mergeCell ref="A9:G9"/>
    <mergeCell ref="A10:E10"/>
    <mergeCell ref="A11:E11"/>
  </mergeCells>
  <conditionalFormatting sqref="F46:F49">
    <cfRule type="expression" dxfId="219" priority="3">
      <formula>$A46=" "</formula>
    </cfRule>
  </conditionalFormatting>
  <conditionalFormatting sqref="B24:B29 C21:E29">
    <cfRule type="expression" dxfId="218" priority="2">
      <formula>$A21="entfällt"</formula>
    </cfRule>
    <cfRule type="expression" dxfId="217" priority="4">
      <formula>$H$2&gt;14</formula>
    </cfRule>
  </conditionalFormatting>
  <conditionalFormatting sqref="B24:B29">
    <cfRule type="expression" dxfId="216" priority="1">
      <formula>AND($A24="TN",$C24&lt;&gt;"")</formula>
    </cfRule>
  </conditionalFormatting>
  <dataValidations count="19">
    <dataValidation type="decimal" errorStyle="warning" allowBlank="1" showInputMessage="1" showErrorMessage="1" error="Eingegebener Abzug überschreitet maximal zulässigen Abzug, Wert bitte überprüfen!" sqref="F21:F35" xr:uid="{9E6025B6-09BF-4EA4-A970-070DBF879496}">
      <formula1>0</formula1>
      <formula2>$E21</formula2>
    </dataValidation>
    <dataValidation type="list" allowBlank="1" showInputMessage="1" showErrorMessage="1" sqref="C20" xr:uid="{D1CCB685-8E1D-477A-8BC0-FCA576765149}">
      <formula1>"Lichtschranke,Druckmessplatte"</formula1>
    </dataValidation>
    <dataValidation type="whole" allowBlank="1" showInputMessage="1" showErrorMessage="1" errorTitle="Falsche Eingabe" error="Bitte Wert prüfen" sqref="D17" xr:uid="{108F53D8-426E-4987-A0CC-57D6733C1C44}">
      <formula1>1</formula1>
      <formula2>13</formula2>
    </dataValidation>
    <dataValidation type="list" allowBlank="1" showInputMessage="1" sqref="C24:C29" xr:uid="{ED6A9453-2F85-453D-8698-931679BDF33E}">
      <formula1>INDIRECT($C$61)</formula1>
    </dataValidation>
    <dataValidation type="list" allowBlank="1" showInputMessage="1" sqref="C21:C23" xr:uid="{413607F2-1D12-4B65-A4C3-C1C187EC63A2}">
      <formula1>INDIRECT($C$58)</formula1>
    </dataValidation>
    <dataValidation allowBlank="1" showInputMessage="1" showErrorMessage="1" prompt="Anzahl der Wiederholungen" sqref="F11" xr:uid="{25949BFC-FBC9-4DB9-A64D-D23839A51C64}"/>
    <dataValidation type="whole" allowBlank="1" showInputMessage="1" showErrorMessage="1" prompt="Abstand von der Oberkante des Turnhockers zur schlechtesten Fingerspitze in cm" sqref="F6" xr:uid="{E17FA243-B9BB-4BF1-ABEF-D0683A77A381}">
      <formula1>-50</formula1>
      <formula2>50</formula2>
    </dataValidation>
    <dataValidation type="list" allowBlank="1" showInputMessage="1" showErrorMessage="1" prompt="Punktzahl nach Vergleich mit Bild" sqref="F5" xr:uid="{EC9C3587-DFB0-4DB5-8410-B8F9E347D2F8}">
      <formula1>"0,2,6,10"</formula1>
    </dataValidation>
    <dataValidation type="whole" allowBlank="1" showErrorMessage="1" errorTitle="Falsche Eingabe" error="Bitte Wert prüfen" prompt="Höchste erreichte Stufe" sqref="F17" xr:uid="{C4DF6E48-C86D-4F26-AED6-B6DF3B174C60}">
      <formula1>1</formula1>
      <formula2>11</formula2>
    </dataValidation>
    <dataValidation allowBlank="1" sqref="D20:E20" xr:uid="{202D8A96-865D-4CDC-AE19-C35F4AEFB42B}"/>
    <dataValidation type="decimal" errorStyle="warning" allowBlank="1" showInputMessage="1" showErrorMessage="1" error="Abzug höher als Wert des Elements, bitte überprüfen!" prompt="Abzug" sqref="F38:F49" xr:uid="{FDEF69EF-BB6B-4B9A-A94D-C2A30253CCF1}">
      <formula1>0</formula1>
      <formula2>$E38</formula2>
    </dataValidation>
    <dataValidation type="whole" allowBlank="1" showInputMessage="1" showErrorMessage="1" prompt="AKs 9 - 13: Übersprungene Kästchen_x000a__x000a_AKs 14 - 21: Anzahl Saltos" sqref="F15" xr:uid="{A76CF58E-C724-4460-80BB-1FF44407E0A0}">
      <formula1>0</formula1>
      <formula2>50</formula2>
    </dataValidation>
    <dataValidation type="list" allowBlank="1" showInputMessage="1" showErrorMessage="1" sqref="F1" xr:uid="{782D9D28-7346-4719-ADD9-FB630490EFFE}">
      <formula1>"männlich,weiblich"</formula1>
    </dataValidation>
    <dataValidation type="whole" allowBlank="1" showInputMessage="1" showErrorMessage="1" sqref="H4:H8" xr:uid="{802DF327-A0E1-4DAA-A547-9B0AC6CFD633}">
      <formula1>0</formula1>
      <formula2>10</formula2>
    </dataValidation>
    <dataValidation type="whole" allowBlank="1" showInputMessage="1" showErrorMessage="1" prompt="Haltezeit in Sekunden" sqref="F13" xr:uid="{B20CBC18-3C31-4E09-B222-9B633B31730B}">
      <formula1>0</formula1>
      <formula2>200</formula2>
    </dataValidation>
    <dataValidation type="whole" allowBlank="1" showInputMessage="1" showErrorMessage="1" prompt="Haltezeit in Sekunden" sqref="F16" xr:uid="{5F496B64-EF50-4111-A9C3-023728DC4F75}">
      <formula1>0</formula1>
      <formula2>100</formula2>
    </dataValidation>
    <dataValidation type="whole" allowBlank="1" showInputMessage="1" showErrorMessage="1" prompt="Anzahl der Wiederholungen" sqref="F14 F12" xr:uid="{DC8ECC9E-168A-4E6E-A140-66D7FA85B50D}">
      <formula1>0</formula1>
      <formula2>50</formula2>
    </dataValidation>
    <dataValidation type="list" operator="equal" allowBlank="1" showInputMessage="1" showErrorMessage="1" prompt="Punktzahl nach Vergleich mit Bild" sqref="F4" xr:uid="{0E1239FC-B8A1-4D82-86F2-64E04896327E}">
      <formula1>"0,2,6,10"</formula1>
    </dataValidation>
    <dataValidation type="decimal" errorStyle="warning" showDropDown="1" showErrorMessage="1" error="Wert unrealistisch hoch, bitte Eingabe überprüfen" promptTitle="Vorsicht" sqref="F20" xr:uid="{6C96BBCE-1C22-4994-8577-C9930E601E86}">
      <formula1>0</formula1>
      <formula2>30</formula2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Bitte Werte aus Dropdown auswählen" prompt="Abstand vom Boden laut Schablone" xr:uid="{91FE944C-4DC1-486A-9B1B-A59F616F5935}">
          <x14:formula1>
            <xm:f>Punktetabellen!$A$3:$A$6</xm:f>
          </x14:formula1>
          <xm:sqref>F7:F8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3F05D-1E77-4DC4-952C-2FAED3FACBD8}">
  <sheetPr codeName="Tabelle20">
    <tabColor indexed="47"/>
    <pageSetUpPr fitToPage="1"/>
  </sheetPr>
  <dimension ref="A1:J70"/>
  <sheetViews>
    <sheetView zoomScale="89" zoomScaleNormal="115" workbookViewId="0">
      <pane ySplit="2" topLeftCell="A34" activePane="bottomLeft" state="frozen"/>
      <selection sqref="A1:H1"/>
      <selection pane="bottomLeft" activeCell="C20" sqref="C20"/>
    </sheetView>
  </sheetViews>
  <sheetFormatPr baseColWidth="10" defaultColWidth="0" defaultRowHeight="14.5" zeroHeight="1" outlineLevelRow="1" x14ac:dyDescent="0.35"/>
  <cols>
    <col min="1" max="1" width="11.453125" customWidth="1"/>
    <col min="2" max="2" width="12.1796875" customWidth="1"/>
    <col min="3" max="3" width="44.81640625" bestFit="1" customWidth="1"/>
    <col min="4" max="5" width="11.453125" style="148" customWidth="1"/>
    <col min="6" max="6" width="16.1796875" style="148" bestFit="1" customWidth="1"/>
    <col min="7" max="7" width="13.81640625" style="148" customWidth="1"/>
    <col min="8" max="8" width="11.453125" customWidth="1"/>
    <col min="9" max="9" width="6.1796875" style="23" hidden="1" customWidth="1"/>
    <col min="10" max="10" width="0" hidden="1" customWidth="1"/>
    <col min="11" max="16384" width="11.453125" hidden="1"/>
  </cols>
  <sheetData>
    <row r="1" spans="1:8" ht="15.5" x14ac:dyDescent="0.35">
      <c r="A1" s="16" t="s">
        <v>1</v>
      </c>
      <c r="B1" s="186" t="s">
        <v>367</v>
      </c>
      <c r="C1" s="187"/>
      <c r="D1" s="187"/>
      <c r="E1" s="188"/>
      <c r="F1" s="51" t="s">
        <v>97</v>
      </c>
      <c r="G1" s="61" t="s">
        <v>24</v>
      </c>
      <c r="H1" s="63">
        <v>2006</v>
      </c>
    </row>
    <row r="2" spans="1:8" ht="16" thickBot="1" x14ac:dyDescent="0.4">
      <c r="A2" s="17" t="s">
        <v>4</v>
      </c>
      <c r="B2" s="198" t="s">
        <v>368</v>
      </c>
      <c r="C2" s="199"/>
      <c r="D2" s="199"/>
      <c r="E2" s="199"/>
      <c r="F2" s="200"/>
      <c r="G2" s="62" t="s">
        <v>3</v>
      </c>
      <c r="H2" s="64">
        <f>2022-H1</f>
        <v>16</v>
      </c>
    </row>
    <row r="3" spans="1:8" ht="15" outlineLevel="1" thickBot="1" x14ac:dyDescent="0.4">
      <c r="A3" s="189" t="s">
        <v>26</v>
      </c>
      <c r="B3" s="190"/>
      <c r="C3" s="190"/>
      <c r="D3" s="190"/>
      <c r="E3" s="191"/>
      <c r="F3" s="46" t="s">
        <v>27</v>
      </c>
      <c r="G3" s="47" t="s">
        <v>28</v>
      </c>
      <c r="H3" s="22" t="s">
        <v>234</v>
      </c>
    </row>
    <row r="4" spans="1:8" outlineLevel="1" x14ac:dyDescent="0.35">
      <c r="A4" s="192" t="s">
        <v>30</v>
      </c>
      <c r="B4" s="193"/>
      <c r="C4" s="193"/>
      <c r="D4" s="193"/>
      <c r="E4" s="194"/>
      <c r="F4" s="25">
        <v>10</v>
      </c>
      <c r="G4" s="55" t="s">
        <v>32</v>
      </c>
      <c r="H4" s="34">
        <f>F4</f>
        <v>10</v>
      </c>
    </row>
    <row r="5" spans="1:8" outlineLevel="1" x14ac:dyDescent="0.35">
      <c r="A5" s="195" t="s">
        <v>85</v>
      </c>
      <c r="B5" s="196"/>
      <c r="C5" s="196"/>
      <c r="D5" s="196"/>
      <c r="E5" s="197"/>
      <c r="F5" s="14">
        <v>10</v>
      </c>
      <c r="G5" s="56" t="s">
        <v>32</v>
      </c>
      <c r="H5" s="35">
        <f>F5</f>
        <v>10</v>
      </c>
    </row>
    <row r="6" spans="1:8" outlineLevel="1" x14ac:dyDescent="0.35">
      <c r="A6" s="195" t="s">
        <v>33</v>
      </c>
      <c r="B6" s="196"/>
      <c r="C6" s="196"/>
      <c r="D6" s="196"/>
      <c r="E6" s="197"/>
      <c r="F6" s="14">
        <v>19</v>
      </c>
      <c r="G6" s="56" t="s">
        <v>31</v>
      </c>
      <c r="H6" s="35">
        <f>IF(F6="",0,VLOOKUP(F6,Punktetabellen!A10:B15,2,1))</f>
        <v>8</v>
      </c>
    </row>
    <row r="7" spans="1:8" outlineLevel="1" x14ac:dyDescent="0.35">
      <c r="A7" s="195" t="s">
        <v>34</v>
      </c>
      <c r="B7" s="196"/>
      <c r="C7" s="196"/>
      <c r="D7" s="196"/>
      <c r="E7" s="197"/>
      <c r="F7" s="14">
        <v>0</v>
      </c>
      <c r="G7" s="56" t="s">
        <v>31</v>
      </c>
      <c r="H7" s="35">
        <f>IF(F7="",0,VLOOKUP(F7,Punktetabellen!A3:B6,2,0))</f>
        <v>5</v>
      </c>
    </row>
    <row r="8" spans="1:8" ht="15" outlineLevel="1" thickBot="1" x14ac:dyDescent="0.4">
      <c r="A8" s="204" t="s">
        <v>35</v>
      </c>
      <c r="B8" s="205"/>
      <c r="C8" s="205"/>
      <c r="D8" s="205"/>
      <c r="E8" s="206"/>
      <c r="F8" s="41">
        <v>0</v>
      </c>
      <c r="G8" s="57" t="s">
        <v>31</v>
      </c>
      <c r="H8" s="36">
        <f>IF(F8="",0,VLOOKUP(F8,Punktetabellen!A3:B6,2,0))</f>
        <v>5</v>
      </c>
    </row>
    <row r="9" spans="1:8" ht="15" thickBot="1" x14ac:dyDescent="0.4">
      <c r="A9" s="210" t="s">
        <v>36</v>
      </c>
      <c r="B9" s="211"/>
      <c r="C9" s="211"/>
      <c r="D9" s="211"/>
      <c r="E9" s="211"/>
      <c r="F9" s="211"/>
      <c r="G9" s="211"/>
      <c r="H9" s="48">
        <f>SUM(H4:H8)</f>
        <v>38</v>
      </c>
    </row>
    <row r="10" spans="1:8" ht="15" outlineLevel="1" thickBot="1" x14ac:dyDescent="0.4">
      <c r="A10" s="189" t="s">
        <v>26</v>
      </c>
      <c r="B10" s="190"/>
      <c r="C10" s="190"/>
      <c r="D10" s="190"/>
      <c r="E10" s="191"/>
      <c r="F10" s="46" t="s">
        <v>27</v>
      </c>
      <c r="G10" s="47" t="s">
        <v>28</v>
      </c>
      <c r="H10" s="22" t="s">
        <v>234</v>
      </c>
    </row>
    <row r="11" spans="1:8" outlineLevel="1" x14ac:dyDescent="0.35">
      <c r="A11" s="207" t="s">
        <v>37</v>
      </c>
      <c r="B11" s="208"/>
      <c r="C11" s="208"/>
      <c r="D11" s="208"/>
      <c r="E11" s="209"/>
      <c r="F11" s="26">
        <v>10</v>
      </c>
      <c r="G11" s="58" t="s">
        <v>31</v>
      </c>
      <c r="H11" s="37">
        <f>IF($F11="",0,VLOOKUP($F11,Pkte_Klimmzug[],$H$2,1))</f>
        <v>7</v>
      </c>
    </row>
    <row r="12" spans="1:8" outlineLevel="1" x14ac:dyDescent="0.35">
      <c r="A12" s="201" t="s">
        <v>38</v>
      </c>
      <c r="B12" s="202"/>
      <c r="C12" s="202"/>
      <c r="D12" s="202"/>
      <c r="E12" s="203"/>
      <c r="F12" s="27">
        <v>3</v>
      </c>
      <c r="G12" s="59" t="s">
        <v>31</v>
      </c>
      <c r="H12" s="38">
        <f>IF($F12="",0,VLOOKUP($F12,Pkte_Beinheben[],$H$2,1))</f>
        <v>1</v>
      </c>
    </row>
    <row r="13" spans="1:8" outlineLevel="1" x14ac:dyDescent="0.35">
      <c r="A13" s="201" t="s">
        <v>88</v>
      </c>
      <c r="B13" s="202"/>
      <c r="C13" s="202"/>
      <c r="D13" s="202"/>
      <c r="E13" s="203"/>
      <c r="F13" s="27">
        <v>110</v>
      </c>
      <c r="G13" s="59" t="s">
        <v>31</v>
      </c>
      <c r="H13" s="38">
        <f>IF($F13="",0,VLOOKUP($F13,Pkte_Flieger[],$H$2,1))</f>
        <v>10</v>
      </c>
    </row>
    <row r="14" spans="1:8" outlineLevel="1" x14ac:dyDescent="0.35">
      <c r="A14" s="201" t="s">
        <v>39</v>
      </c>
      <c r="B14" s="202"/>
      <c r="C14" s="202"/>
      <c r="D14" s="202"/>
      <c r="E14" s="203"/>
      <c r="F14" s="27">
        <v>29</v>
      </c>
      <c r="G14" s="59" t="s">
        <v>31</v>
      </c>
      <c r="H14" s="38">
        <f>IF($F14="",0,VLOOKUP($F14,Pkte_Rollenverbindung[],$H$2,1))</f>
        <v>10</v>
      </c>
    </row>
    <row r="15" spans="1:8" outlineLevel="1" x14ac:dyDescent="0.35">
      <c r="A15" s="201" t="s">
        <v>89</v>
      </c>
      <c r="B15" s="202"/>
      <c r="C15" s="202"/>
      <c r="D15" s="202"/>
      <c r="E15" s="203"/>
      <c r="F15" s="27">
        <v>10</v>
      </c>
      <c r="G15" s="59" t="s">
        <v>31</v>
      </c>
      <c r="H15" s="38">
        <f>IF($F15="",0,VLOOKUP($F15,Pkte_Prellsprung[],$H$2,1))</f>
        <v>10</v>
      </c>
    </row>
    <row r="16" spans="1:8" outlineLevel="1" x14ac:dyDescent="0.35">
      <c r="A16" s="201" t="s">
        <v>90</v>
      </c>
      <c r="B16" s="202"/>
      <c r="C16" s="202"/>
      <c r="D16" s="202"/>
      <c r="E16" s="203"/>
      <c r="F16" s="28">
        <v>30</v>
      </c>
      <c r="G16" s="59" t="s">
        <v>31</v>
      </c>
      <c r="H16" s="38">
        <f>IF($F16="",0,VLOOKUP($F16,Pkte_Handstand[],$H$2,1))</f>
        <v>10</v>
      </c>
    </row>
    <row r="17" spans="1:8" ht="15" outlineLevel="1" thickBot="1" x14ac:dyDescent="0.4">
      <c r="A17" s="112" t="s">
        <v>93</v>
      </c>
      <c r="B17" s="113"/>
      <c r="C17" s="114" t="s">
        <v>269</v>
      </c>
      <c r="D17" s="29">
        <v>9</v>
      </c>
      <c r="E17" s="115" t="s">
        <v>270</v>
      </c>
      <c r="F17" s="29">
        <v>11</v>
      </c>
      <c r="G17" s="60" t="s">
        <v>31</v>
      </c>
      <c r="H17" s="39">
        <f>IF($F17="",0,IF($F$1="weiblich",VLOOKUP((100*$D17+$F17),Pkte_Shuttle_W[],$H$2,1),VLOOKUP((100*$D17+$F17),Pkte_Shuttle_M[],$H$2,1)))</f>
        <v>10</v>
      </c>
    </row>
    <row r="18" spans="1:8" ht="15" thickBot="1" x14ac:dyDescent="0.4">
      <c r="A18" s="161" t="s">
        <v>40</v>
      </c>
      <c r="B18" s="162"/>
      <c r="C18" s="162"/>
      <c r="D18" s="162"/>
      <c r="E18" s="162"/>
      <c r="F18" s="162"/>
      <c r="G18" s="162"/>
      <c r="H18" s="48">
        <f>SUM(H11:H17)</f>
        <v>58</v>
      </c>
    </row>
    <row r="19" spans="1:8" ht="15" outlineLevel="1" thickBot="1" x14ac:dyDescent="0.4">
      <c r="A19" s="159" t="s">
        <v>26</v>
      </c>
      <c r="B19" s="160"/>
      <c r="C19" s="160"/>
      <c r="D19" s="85" t="s">
        <v>235</v>
      </c>
      <c r="E19" s="85" t="s">
        <v>238</v>
      </c>
      <c r="F19" s="85" t="s">
        <v>236</v>
      </c>
      <c r="G19" s="86" t="s">
        <v>28</v>
      </c>
      <c r="H19" s="49" t="s">
        <v>234</v>
      </c>
    </row>
    <row r="20" spans="1:8" outlineLevel="1" x14ac:dyDescent="0.35">
      <c r="A20" s="167" t="s">
        <v>148</v>
      </c>
      <c r="B20" s="168"/>
      <c r="C20" s="116" t="str">
        <f>Infos!A10</f>
        <v>Druckmessplatte</v>
      </c>
      <c r="D20" s="90">
        <f>IF(F1="männlich",VLOOKUP(H2,Standsprünge!A3:C15,3,0),VLOOKUP(H2,Standsprünge!A3:B15,2,0))+IF(C20="Druckmessplatte",0)</f>
        <v>15.9</v>
      </c>
      <c r="E20" s="90"/>
      <c r="F20" s="67">
        <v>16.84</v>
      </c>
      <c r="G20" s="91" t="s">
        <v>149</v>
      </c>
      <c r="H20" s="88">
        <f>IF(F20="",0,(F20-D20)*10)</f>
        <v>9.399999999999995</v>
      </c>
    </row>
    <row r="21" spans="1:8" outlineLevel="1" x14ac:dyDescent="0.35">
      <c r="A21" s="165" t="str">
        <f>IF(H2&gt;15,"entfällt","TBN")</f>
        <v>entfällt</v>
      </c>
      <c r="B21" s="166"/>
      <c r="C21" s="77"/>
      <c r="D21" s="78" t="str">
        <f ca="1">IF(C21="","",VLOOKUP(C21,INDIRECT($C$57),2,0))</f>
        <v/>
      </c>
      <c r="E21" s="78" t="str">
        <f ca="1">IF(C21="","",VLOOKUP(C21,INDIRECT($C$57),3,0))</f>
        <v/>
      </c>
      <c r="F21" s="42"/>
      <c r="G21" s="71" t="str">
        <f>IF(H2&gt;16,"entfällt","Wert - Abzug")</f>
        <v>Wert - Abzug</v>
      </c>
      <c r="H21" s="66">
        <f>IF(A21="entfällt",0,IF(F21="",0,D21-F21))</f>
        <v>0</v>
      </c>
    </row>
    <row r="22" spans="1:8" outlineLevel="1" x14ac:dyDescent="0.35">
      <c r="A22" s="165" t="str">
        <f>IF(H2&gt;15,"entfällt","TBN")</f>
        <v>entfällt</v>
      </c>
      <c r="B22" s="166"/>
      <c r="C22" s="77"/>
      <c r="D22" s="78" t="str">
        <f ca="1">IF(C22="","",VLOOKUP(C22,INDIRECT($C$57),2,0))</f>
        <v/>
      </c>
      <c r="E22" s="78" t="str">
        <f ca="1">IF(C22="","",VLOOKUP(C22,INDIRECT($C$57),3,0))</f>
        <v/>
      </c>
      <c r="F22" s="42"/>
      <c r="G22" s="71" t="str">
        <f>IF(H2&gt;16,"entfällt","Wert - Abzug")</f>
        <v>Wert - Abzug</v>
      </c>
      <c r="H22" s="66">
        <f t="shared" ref="H22:H28" si="0">IF(A22="entfällt",0,IF(F22="",0,D22-F22))</f>
        <v>0</v>
      </c>
    </row>
    <row r="23" spans="1:8" outlineLevel="1" x14ac:dyDescent="0.35">
      <c r="A23" s="165" t="str">
        <f>IF(H2&gt;11,"entfällt","TBN")</f>
        <v>entfällt</v>
      </c>
      <c r="B23" s="166"/>
      <c r="C23" s="77"/>
      <c r="D23" s="78" t="str">
        <f ca="1">IF(C23="","",VLOOKUP(C23,INDIRECT($C$57),2,0))</f>
        <v/>
      </c>
      <c r="E23" s="78" t="str">
        <f ca="1">IF(C23="","",VLOOKUP(C23,INDIRECT($C$57),3,0))</f>
        <v/>
      </c>
      <c r="F23" s="42"/>
      <c r="G23" s="71" t="str">
        <f>IF(H2&gt;16,"entfällt","Wert - Abzug")</f>
        <v>Wert - Abzug</v>
      </c>
      <c r="H23" s="66">
        <f t="shared" si="0"/>
        <v>0</v>
      </c>
    </row>
    <row r="24" spans="1:8" outlineLevel="1" x14ac:dyDescent="0.35">
      <c r="A24" s="110" t="s">
        <v>147</v>
      </c>
      <c r="B24" s="111"/>
      <c r="C24" s="77" t="s">
        <v>193</v>
      </c>
      <c r="D24" s="78">
        <v>17</v>
      </c>
      <c r="E24" s="78">
        <v>6</v>
      </c>
      <c r="F24" s="42">
        <v>2</v>
      </c>
      <c r="G24" s="71" t="s">
        <v>146</v>
      </c>
      <c r="H24" s="66">
        <f t="shared" si="0"/>
        <v>15</v>
      </c>
    </row>
    <row r="25" spans="1:8" outlineLevel="1" x14ac:dyDescent="0.35">
      <c r="A25" s="110" t="s">
        <v>147</v>
      </c>
      <c r="B25" s="111"/>
      <c r="C25" s="77" t="s">
        <v>186</v>
      </c>
      <c r="D25" s="78">
        <v>14</v>
      </c>
      <c r="E25" s="78">
        <v>6</v>
      </c>
      <c r="F25" s="42">
        <v>4</v>
      </c>
      <c r="G25" s="71" t="s">
        <v>146</v>
      </c>
      <c r="H25" s="66">
        <f t="shared" si="0"/>
        <v>10</v>
      </c>
    </row>
    <row r="26" spans="1:8" outlineLevel="1" x14ac:dyDescent="0.35">
      <c r="A26" s="110" t="s">
        <v>147</v>
      </c>
      <c r="B26" s="111"/>
      <c r="C26" s="77" t="s">
        <v>192</v>
      </c>
      <c r="D26" s="78">
        <v>12</v>
      </c>
      <c r="E26" s="78">
        <v>6</v>
      </c>
      <c r="F26" s="42">
        <v>2</v>
      </c>
      <c r="G26" s="71" t="s">
        <v>146</v>
      </c>
      <c r="H26" s="66">
        <f t="shared" si="0"/>
        <v>10</v>
      </c>
    </row>
    <row r="27" spans="1:8" outlineLevel="1" x14ac:dyDescent="0.35">
      <c r="A27" s="110" t="str">
        <f>IF(H2&gt;11,"TN","entfällt")</f>
        <v>TN</v>
      </c>
      <c r="B27" s="111"/>
      <c r="C27" s="77" t="s">
        <v>185</v>
      </c>
      <c r="D27" s="78">
        <v>15</v>
      </c>
      <c r="E27" s="78">
        <v>6</v>
      </c>
      <c r="F27" s="42">
        <v>2</v>
      </c>
      <c r="G27" s="71" t="str">
        <f>IF(H2&gt;12,"Wert - Abzug","entfällt")</f>
        <v>Wert - Abzug</v>
      </c>
      <c r="H27" s="66">
        <f t="shared" si="0"/>
        <v>13</v>
      </c>
    </row>
    <row r="28" spans="1:8" outlineLevel="1" x14ac:dyDescent="0.35">
      <c r="A28" s="110" t="str">
        <f>IF(H2&gt;15,"TN","entfällt")</f>
        <v>TN</v>
      </c>
      <c r="B28" s="111"/>
      <c r="C28" s="77" t="s">
        <v>381</v>
      </c>
      <c r="D28" s="78">
        <v>13</v>
      </c>
      <c r="E28" s="78">
        <v>6</v>
      </c>
      <c r="F28" s="42">
        <v>2</v>
      </c>
      <c r="G28" s="71" t="str">
        <f>IF(H2&gt;16,"Wert - Abzug","entfällt")</f>
        <v>entfällt</v>
      </c>
      <c r="H28" s="66">
        <f t="shared" si="0"/>
        <v>11</v>
      </c>
    </row>
    <row r="29" spans="1:8" outlineLevel="1" x14ac:dyDescent="0.35">
      <c r="A29" s="110" t="str">
        <f>IF(H2&gt;15,"TN","entfällt")</f>
        <v>TN</v>
      </c>
      <c r="B29" s="111"/>
      <c r="C29" s="77" t="s">
        <v>382</v>
      </c>
      <c r="D29" s="78">
        <v>15</v>
      </c>
      <c r="E29" s="78">
        <v>6</v>
      </c>
      <c r="F29" s="42">
        <v>2</v>
      </c>
      <c r="G29" s="71" t="str">
        <f>IF(H2&gt;16,"Wert - Abzug","entfällt")</f>
        <v>entfällt</v>
      </c>
      <c r="H29" s="66">
        <f>IF(A29="entfällt",0,IF(F29="",0,D29-F29))</f>
        <v>13</v>
      </c>
    </row>
    <row r="30" spans="1:8" outlineLevel="1" x14ac:dyDescent="0.35">
      <c r="A30" s="165" t="str">
        <f>IF($H$2&gt;10,"Verbindung Sprung 1","entfällt")</f>
        <v>Verbindung Sprung 1</v>
      </c>
      <c r="B30" s="166"/>
      <c r="C30" s="40" t="str">
        <f>Listen!K21</f>
        <v>801&lt;</v>
      </c>
      <c r="D30" s="40">
        <f>Listen!L21</f>
        <v>13</v>
      </c>
      <c r="E30" s="40">
        <f>Listen!M21</f>
        <v>3</v>
      </c>
      <c r="F30" s="42">
        <v>2</v>
      </c>
      <c r="G30" s="71" t="str">
        <f>IF(H2&gt;12,"Wert - Abzug","entfällt")</f>
        <v>Wert - Abzug</v>
      </c>
      <c r="H30" s="66"/>
    </row>
    <row r="31" spans="1:8" outlineLevel="1" x14ac:dyDescent="0.35">
      <c r="A31" s="165" t="str">
        <f>IF($H$2&gt;10,"Verbindung Sprung 2","entfällt")</f>
        <v>Verbindung Sprung 2</v>
      </c>
      <c r="B31" s="166"/>
      <c r="C31" s="40" t="str">
        <f>Listen!K22</f>
        <v>40&lt;</v>
      </c>
      <c r="D31" s="40">
        <f>Listen!L22</f>
        <v>6</v>
      </c>
      <c r="E31" s="40">
        <f>Listen!M22</f>
        <v>3</v>
      </c>
      <c r="F31" s="42">
        <v>1</v>
      </c>
      <c r="G31" s="71" t="str">
        <f>IF(H2&gt;12,"Wert - Abzug","entfällt")</f>
        <v>Wert - Abzug</v>
      </c>
      <c r="H31" s="66"/>
    </row>
    <row r="32" spans="1:8" outlineLevel="1" x14ac:dyDescent="0.35">
      <c r="A32" s="165" t="str">
        <f>IF($H$2&gt;10,"Verbindung Sprung 3","entfällt")</f>
        <v>Verbindung Sprung 3</v>
      </c>
      <c r="B32" s="166"/>
      <c r="C32" s="40" t="str">
        <f>Listen!K23</f>
        <v>801°</v>
      </c>
      <c r="D32" s="40">
        <f>Listen!L23</f>
        <v>11</v>
      </c>
      <c r="E32" s="40">
        <f>Listen!M23</f>
        <v>3</v>
      </c>
      <c r="F32" s="42">
        <v>2</v>
      </c>
      <c r="G32" s="71" t="str">
        <f>IF(H2&gt;12,"Wert - Abzug","entfällt")</f>
        <v>Wert - Abzug</v>
      </c>
      <c r="H32" s="66"/>
    </row>
    <row r="33" spans="1:8" outlineLevel="1" x14ac:dyDescent="0.35">
      <c r="A33" s="165" t="str">
        <f>IF($H$2&gt;10,"Verbindung Sprung 4","entfällt")</f>
        <v>Verbindung Sprung 4</v>
      </c>
      <c r="B33" s="166"/>
      <c r="C33" s="40" t="str">
        <f>Listen!K24</f>
        <v>40/</v>
      </c>
      <c r="D33" s="40">
        <f>Listen!L24</f>
        <v>6</v>
      </c>
      <c r="E33" s="40">
        <f>Listen!M24</f>
        <v>3</v>
      </c>
      <c r="F33" s="42">
        <v>1</v>
      </c>
      <c r="G33" s="71" t="str">
        <f>IF(H2&gt;12,"Wert - Abzug","entfällt")</f>
        <v>Wert - Abzug</v>
      </c>
      <c r="H33" s="66"/>
    </row>
    <row r="34" spans="1:8" outlineLevel="1" x14ac:dyDescent="0.35">
      <c r="A34" s="165" t="str">
        <f>IF($H$2&gt;10,"Verbindung Sprung 5","entfällt")</f>
        <v>Verbindung Sprung 5</v>
      </c>
      <c r="B34" s="166"/>
      <c r="C34" s="40" t="str">
        <f>Listen!K25</f>
        <v>41/</v>
      </c>
      <c r="D34" s="40">
        <f>Listen!L25</f>
        <v>6</v>
      </c>
      <c r="E34" s="40">
        <f>Listen!M25</f>
        <v>3</v>
      </c>
      <c r="F34" s="42">
        <v>1</v>
      </c>
      <c r="G34" s="71" t="str">
        <f>IF(H2&gt;12,"Wert - Abzug","entfällt")</f>
        <v>Wert - Abzug</v>
      </c>
      <c r="H34" s="66"/>
    </row>
    <row r="35" spans="1:8" ht="15" outlineLevel="1" thickBot="1" x14ac:dyDescent="0.4">
      <c r="A35" s="171" t="str">
        <f>IF($H$2&gt;10,"Verbindung Sprung 6","entfällt")</f>
        <v>Verbindung Sprung 6</v>
      </c>
      <c r="B35" s="172"/>
      <c r="C35" s="40" t="str">
        <f>Listen!K26</f>
        <v>800°</v>
      </c>
      <c r="D35" s="40">
        <f>Listen!L26</f>
        <v>10</v>
      </c>
      <c r="E35" s="40">
        <f>Listen!M26</f>
        <v>3</v>
      </c>
      <c r="F35" s="69">
        <v>3</v>
      </c>
      <c r="G35" s="72" t="str">
        <f>IF(H2&gt;12,"Wert - Abzug","entfällt")</f>
        <v>Wert - Abzug</v>
      </c>
      <c r="H35" s="70">
        <f>30-F30-F31-F32-F33-F34-F35</f>
        <v>20</v>
      </c>
    </row>
    <row r="36" spans="1:8" ht="15" thickBot="1" x14ac:dyDescent="0.4">
      <c r="A36" s="173" t="s">
        <v>41</v>
      </c>
      <c r="B36" s="174"/>
      <c r="C36" s="174"/>
      <c r="D36" s="174"/>
      <c r="E36" s="174"/>
      <c r="F36" s="174"/>
      <c r="G36" s="175"/>
      <c r="H36" s="89">
        <f>SUM(H20:H35)</f>
        <v>101.39999999999999</v>
      </c>
    </row>
    <row r="37" spans="1:8" ht="15" outlineLevel="1" thickBot="1" x14ac:dyDescent="0.4">
      <c r="A37" s="181" t="s">
        <v>99</v>
      </c>
      <c r="B37" s="182"/>
      <c r="C37" s="182"/>
      <c r="D37" s="183"/>
      <c r="E37" s="85" t="s">
        <v>27</v>
      </c>
      <c r="F37" s="85" t="s">
        <v>237</v>
      </c>
      <c r="G37" s="86" t="s">
        <v>28</v>
      </c>
      <c r="H37" s="49" t="s">
        <v>234</v>
      </c>
    </row>
    <row r="38" spans="1:8" outlineLevel="1" x14ac:dyDescent="0.35">
      <c r="A38" s="179" t="str">
        <f ca="1">VLOOKUP(1,INDIRECT($C$65),2,0)</f>
        <v>Flugrolle mit Überstrecken mit Anlauf</v>
      </c>
      <c r="B38" s="180"/>
      <c r="C38" s="180"/>
      <c r="D38" s="180"/>
      <c r="E38" s="92">
        <f ca="1">VLOOKUP(1,INDIRECT($C$65),3,0)</f>
        <v>3</v>
      </c>
      <c r="F38" s="79">
        <v>0</v>
      </c>
      <c r="G38" s="80" t="s">
        <v>146</v>
      </c>
      <c r="H38" s="84">
        <f ca="1">IF(E38=" ","",IF(F38="",0,E38-F38))</f>
        <v>3</v>
      </c>
    </row>
    <row r="39" spans="1:8" outlineLevel="1" x14ac:dyDescent="0.35">
      <c r="A39" s="163" t="str">
        <f ca="1">VLOOKUP(2,INDIRECT($C$65),2,0)</f>
        <v>--&gt; Strecksprung, Salto vorwärts gehockt</v>
      </c>
      <c r="B39" s="164"/>
      <c r="C39" s="164"/>
      <c r="D39" s="164"/>
      <c r="E39" s="87">
        <f ca="1">VLOOKUP(2,INDIRECT($C$65),3,0)</f>
        <v>4.5</v>
      </c>
      <c r="F39" s="43">
        <v>0</v>
      </c>
      <c r="G39" s="81" t="s">
        <v>146</v>
      </c>
      <c r="H39" s="84">
        <f t="shared" ref="H39:H49" ca="1" si="1">IF(E39=" ","",IF(F39="",0,E39-F39))</f>
        <v>4.5</v>
      </c>
    </row>
    <row r="40" spans="1:8" outlineLevel="1" x14ac:dyDescent="0.35">
      <c r="A40" s="163" t="str">
        <f ca="1">VLOOKUP(3,INDIRECT($C$65),2,0)</f>
        <v>Vorspreizen, Handstand mit 1/1 Drehung, abrollen</v>
      </c>
      <c r="B40" s="164"/>
      <c r="C40" s="164"/>
      <c r="D40" s="164"/>
      <c r="E40" s="87">
        <f ca="1">VLOOKUP(3,INDIRECT($C$65),3,0)</f>
        <v>3</v>
      </c>
      <c r="F40" s="43">
        <v>0</v>
      </c>
      <c r="G40" s="81" t="s">
        <v>146</v>
      </c>
      <c r="H40" s="84">
        <f t="shared" ca="1" si="1"/>
        <v>3</v>
      </c>
    </row>
    <row r="41" spans="1:8" outlineLevel="1" x14ac:dyDescent="0.35">
      <c r="A41" s="163" t="str">
        <f ca="1">VLOOKUP(4,INDIRECT($C$65),2,0)</f>
        <v>--&gt; Aufstehen mit gestreckten Beinen</v>
      </c>
      <c r="B41" s="164"/>
      <c r="C41" s="164"/>
      <c r="D41" s="164"/>
      <c r="E41" s="87">
        <f ca="1">VLOOKUP(4,INDIRECT($C$65),3,0)</f>
        <v>3</v>
      </c>
      <c r="F41" s="43">
        <v>0</v>
      </c>
      <c r="G41" s="81" t="s">
        <v>146</v>
      </c>
      <c r="H41" s="84">
        <f t="shared" ca="1" si="1"/>
        <v>3</v>
      </c>
    </row>
    <row r="42" spans="1:8" outlineLevel="1" x14ac:dyDescent="0.35">
      <c r="A42" s="163" t="str">
        <f ca="1">VLOOKUP(5,INDIRECT($C$65),2,0)</f>
        <v>Vorspreizen, Bestellschritt, Strecksprung 3/2 Drehung</v>
      </c>
      <c r="B42" s="164"/>
      <c r="C42" s="164"/>
      <c r="D42" s="164"/>
      <c r="E42" s="87">
        <f ca="1">VLOOKUP(5,INDIRECT($C$65),3,0)</f>
        <v>3</v>
      </c>
      <c r="F42" s="43">
        <v>0.5</v>
      </c>
      <c r="G42" s="81" t="s">
        <v>146</v>
      </c>
      <c r="H42" s="84">
        <f t="shared" ca="1" si="1"/>
        <v>2.5</v>
      </c>
    </row>
    <row r="43" spans="1:8" outlineLevel="1" x14ac:dyDescent="0.35">
      <c r="A43" s="163" t="str">
        <f ca="1">VLOOKUP(6,INDIRECT($C$65),2,0)</f>
        <v>Salto rückwärts gehockt</v>
      </c>
      <c r="B43" s="164"/>
      <c r="C43" s="164"/>
      <c r="D43" s="164"/>
      <c r="E43" s="87">
        <f ca="1">VLOOKUP(6,INDIRECT($C$65),3,0)</f>
        <v>3</v>
      </c>
      <c r="F43" s="43">
        <v>0</v>
      </c>
      <c r="G43" s="81" t="s">
        <v>146</v>
      </c>
      <c r="H43" s="84">
        <f t="shared" ca="1" si="1"/>
        <v>3</v>
      </c>
    </row>
    <row r="44" spans="1:8" outlineLevel="1" x14ac:dyDescent="0.35">
      <c r="A44" s="163" t="str">
        <f ca="1">VLOOKUP(7,INDIRECT($C$65),2,0)</f>
        <v>Handstützüberschlag</v>
      </c>
      <c r="B44" s="164"/>
      <c r="C44" s="164"/>
      <c r="D44" s="164"/>
      <c r="E44" s="87">
        <f ca="1">VLOOKUP(7,INDIRECT($C$65),3,0)</f>
        <v>3</v>
      </c>
      <c r="F44" s="43">
        <v>0.5</v>
      </c>
      <c r="G44" s="81" t="s">
        <v>146</v>
      </c>
      <c r="H44" s="84">
        <f t="shared" ca="1" si="1"/>
        <v>2.5</v>
      </c>
    </row>
    <row r="45" spans="1:8" outlineLevel="1" x14ac:dyDescent="0.35">
      <c r="A45" s="163" t="str">
        <f ca="1">VLOOKUP(8,INDIRECT($C$65),2,0)</f>
        <v>--&gt; Ansprung Schrittstellung, Handstand mit zwei Hüpfern</v>
      </c>
      <c r="B45" s="164"/>
      <c r="C45" s="164"/>
      <c r="D45" s="164"/>
      <c r="E45" s="87">
        <f ca="1">VLOOKUP(8,INDIRECT($C$65),3,0)</f>
        <v>3</v>
      </c>
      <c r="F45" s="43">
        <v>0</v>
      </c>
      <c r="G45" s="81" t="s">
        <v>146</v>
      </c>
      <c r="H45" s="84">
        <f t="shared" ca="1" si="1"/>
        <v>3</v>
      </c>
    </row>
    <row r="46" spans="1:8" outlineLevel="1" x14ac:dyDescent="0.35">
      <c r="A46" s="163" t="str">
        <f ca="1">VLOOKUP(9,INDIRECT($C$65),2,0)</f>
        <v>Abrollen --&gt; Strecksprung 1/2 Drehung</v>
      </c>
      <c r="B46" s="164"/>
      <c r="C46" s="164"/>
      <c r="D46" s="164"/>
      <c r="E46" s="87">
        <f ca="1">VLOOKUP(9,INDIRECT($C$65),3,0)</f>
        <v>1.5</v>
      </c>
      <c r="F46" s="43">
        <v>0</v>
      </c>
      <c r="G46" s="81" t="str">
        <f>IF(H2&gt;16,"","Wert - Abzug")</f>
        <v>Wert - Abzug</v>
      </c>
      <c r="H46" s="84">
        <f t="shared" ca="1" si="1"/>
        <v>1.5</v>
      </c>
    </row>
    <row r="47" spans="1:8" outlineLevel="1" x14ac:dyDescent="0.35">
      <c r="A47" s="163" t="str">
        <f ca="1">VLOOKUP(10,INDIRECT($C$65),2,0)</f>
        <v>Salto vorwärts gebückt mit Anlauf</v>
      </c>
      <c r="B47" s="164"/>
      <c r="C47" s="164"/>
      <c r="D47" s="164"/>
      <c r="E47" s="87">
        <f ca="1">VLOOKUP(10,INDIRECT($C$65),3,0)</f>
        <v>3</v>
      </c>
      <c r="F47" s="43">
        <v>0</v>
      </c>
      <c r="G47" s="81" t="str">
        <f>IF(H2&gt;16,"","Wert - Abzug")</f>
        <v>Wert - Abzug</v>
      </c>
      <c r="H47" s="84">
        <f t="shared" ca="1" si="1"/>
        <v>3</v>
      </c>
    </row>
    <row r="48" spans="1:8" outlineLevel="1" x14ac:dyDescent="0.35">
      <c r="A48" s="163" t="str">
        <f ca="1">VLOOKUP(11,INDIRECT($C$65),2,0)</f>
        <v xml:space="preserve"> </v>
      </c>
      <c r="B48" s="164"/>
      <c r="C48" s="164"/>
      <c r="D48" s="164"/>
      <c r="E48" s="87" t="str">
        <f ca="1">VLOOKUP(11,INDIRECT($C$65),3,0)</f>
        <v xml:space="preserve"> </v>
      </c>
      <c r="F48" s="43"/>
      <c r="G48" s="81" t="str">
        <f>IF(H2&gt;13,"","Wert - Abzug")</f>
        <v/>
      </c>
      <c r="H48" s="84" t="str">
        <f t="shared" ca="1" si="1"/>
        <v/>
      </c>
    </row>
    <row r="49" spans="1:8" ht="15" outlineLevel="1" thickBot="1" x14ac:dyDescent="0.4">
      <c r="A49" s="184" t="str">
        <f ca="1">VLOOKUP(12,INDIRECT($C$65),2,0)</f>
        <v xml:space="preserve"> </v>
      </c>
      <c r="B49" s="185"/>
      <c r="C49" s="185"/>
      <c r="D49" s="185"/>
      <c r="E49" s="93" t="str">
        <f ca="1">VLOOKUP(12,INDIRECT($C$65),3,0)</f>
        <v xml:space="preserve"> </v>
      </c>
      <c r="F49" s="82"/>
      <c r="G49" s="83" t="str">
        <f>IF(OR(H2=9,H2=12,H2=13),"Wert - Abzug","")</f>
        <v/>
      </c>
      <c r="H49" s="84" t="str">
        <f t="shared" ca="1" si="1"/>
        <v/>
      </c>
    </row>
    <row r="50" spans="1:8" ht="15" thickBot="1" x14ac:dyDescent="0.4">
      <c r="A50" s="176" t="s">
        <v>98</v>
      </c>
      <c r="B50" s="177"/>
      <c r="C50" s="177"/>
      <c r="D50" s="177"/>
      <c r="E50" s="177"/>
      <c r="F50" s="177"/>
      <c r="G50" s="178"/>
      <c r="H50" s="44">
        <f ca="1">SUM(H38:H49)</f>
        <v>29</v>
      </c>
    </row>
    <row r="51" spans="1:8" ht="16" thickBot="1" x14ac:dyDescent="0.4">
      <c r="A51" s="169" t="s">
        <v>42</v>
      </c>
      <c r="B51" s="170"/>
      <c r="C51" s="170"/>
      <c r="D51" s="170"/>
      <c r="E51" s="170"/>
      <c r="F51" s="170"/>
      <c r="G51" s="170"/>
      <c r="H51" s="94">
        <f ca="1">SUM(H9,H18,H36,H50)</f>
        <v>226.39999999999998</v>
      </c>
    </row>
    <row r="52" spans="1:8" s="23" customFormat="1" x14ac:dyDescent="0.35">
      <c r="D52" s="50"/>
      <c r="E52" s="50"/>
      <c r="F52" s="50"/>
      <c r="G52" s="50"/>
    </row>
    <row r="53" spans="1:8" s="23" customFormat="1" hidden="1" x14ac:dyDescent="0.35">
      <c r="C53" s="24"/>
      <c r="D53" s="50"/>
      <c r="E53" s="50"/>
      <c r="F53" s="50"/>
      <c r="G53" s="50"/>
    </row>
    <row r="54" spans="1:8" s="23" customFormat="1" hidden="1" x14ac:dyDescent="0.35">
      <c r="B54" s="23" t="s">
        <v>249</v>
      </c>
      <c r="C54" s="23" t="str">
        <f>IF(H2&lt;13,"beide",F1)</f>
        <v>weiblich</v>
      </c>
      <c r="D54" s="50"/>
      <c r="E54" s="50"/>
      <c r="F54" s="50"/>
      <c r="G54" s="50"/>
    </row>
    <row r="55" spans="1:8" s="23" customFormat="1" hidden="1" x14ac:dyDescent="0.35">
      <c r="B55" s="23" t="s">
        <v>3</v>
      </c>
      <c r="C55" s="23" t="str">
        <f>IF(OR(H2=8,H2=11),H2,IF(H2&lt;11,"9_10",IF(H2&lt;14,"12_13",IF(H2&lt;16,"14_15",IF(H2&lt;18,"16_17",18)))))</f>
        <v>16_17</v>
      </c>
      <c r="D55" s="50"/>
      <c r="E55" s="50"/>
      <c r="F55" s="50"/>
      <c r="G55" s="50"/>
    </row>
    <row r="56" spans="1:8" s="23" customFormat="1" hidden="1" x14ac:dyDescent="0.35">
      <c r="D56" s="50"/>
      <c r="E56" s="50"/>
      <c r="F56" s="50"/>
      <c r="G56" s="50"/>
    </row>
    <row r="57" spans="1:8" s="23" customFormat="1" hidden="1" x14ac:dyDescent="0.35">
      <c r="B57" s="23" t="s">
        <v>251</v>
      </c>
      <c r="C57" s="23" t="str">
        <f>"TBN_"&amp;C54&amp;"_"&amp;C55</f>
        <v>TBN_weiblich_16_17</v>
      </c>
      <c r="D57" s="50"/>
      <c r="E57" s="50"/>
      <c r="F57" s="50"/>
      <c r="G57" s="50"/>
    </row>
    <row r="58" spans="1:8" s="23" customFormat="1" hidden="1" x14ac:dyDescent="0.35">
      <c r="C58" s="23" t="str">
        <f>C57&amp;"[Beschreibung]"</f>
        <v>TBN_weiblich_16_17[Beschreibung]</v>
      </c>
      <c r="D58" s="50"/>
      <c r="E58" s="50"/>
      <c r="F58" s="50"/>
      <c r="G58" s="50"/>
    </row>
    <row r="59" spans="1:8" s="23" customFormat="1" hidden="1" x14ac:dyDescent="0.35">
      <c r="D59" s="50"/>
      <c r="E59" s="50"/>
      <c r="F59" s="50"/>
      <c r="G59" s="50"/>
    </row>
    <row r="60" spans="1:8" s="23" customFormat="1" hidden="1" x14ac:dyDescent="0.35">
      <c r="B60" s="23" t="s">
        <v>147</v>
      </c>
      <c r="C60" s="23" t="str">
        <f>"TN_"&amp;C54&amp;"_"&amp;C55</f>
        <v>TN_weiblich_16_17</v>
      </c>
      <c r="D60" s="50"/>
      <c r="E60" s="50"/>
      <c r="F60" s="50"/>
      <c r="G60" s="50"/>
    </row>
    <row r="61" spans="1:8" s="23" customFormat="1" hidden="1" x14ac:dyDescent="0.35">
      <c r="C61" s="23" t="str">
        <f>C60&amp;"[Beschreibung]"</f>
        <v>TN_weiblich_16_17[Beschreibung]</v>
      </c>
      <c r="D61" s="50"/>
      <c r="E61" s="50"/>
      <c r="F61" s="50"/>
      <c r="G61" s="50"/>
    </row>
    <row r="62" spans="1:8" s="23" customFormat="1" hidden="1" x14ac:dyDescent="0.35">
      <c r="D62" s="50"/>
      <c r="E62" s="50"/>
      <c r="F62" s="50"/>
      <c r="G62" s="50"/>
    </row>
    <row r="63" spans="1:8" s="23" customFormat="1" hidden="1" x14ac:dyDescent="0.35">
      <c r="B63" s="23" t="s">
        <v>17</v>
      </c>
      <c r="C63" s="23" t="str">
        <f>"TV_"&amp;F1&amp;"_"&amp;C55</f>
        <v>TV_weiblich_16_17</v>
      </c>
      <c r="D63" s="50"/>
      <c r="E63" s="50"/>
      <c r="F63" s="50"/>
      <c r="G63" s="50"/>
    </row>
    <row r="64" spans="1:8" s="23" customFormat="1" hidden="1" x14ac:dyDescent="0.35">
      <c r="D64" s="50"/>
      <c r="E64" s="50"/>
      <c r="F64" s="50"/>
      <c r="G64" s="50"/>
    </row>
    <row r="65" spans="2:7" s="23" customFormat="1" hidden="1" x14ac:dyDescent="0.35">
      <c r="B65" s="23" t="s">
        <v>252</v>
      </c>
      <c r="C65" s="23" t="str">
        <f>"BKÜ"&amp;IF(H2=9,"_9",IF(H2&lt;12,"_10_11",IF(H2&lt;14,"_12_13",IF(H2&lt;17,"_14_16","_17"))))</f>
        <v>BKÜ_14_16</v>
      </c>
      <c r="D65" s="50"/>
      <c r="E65" s="50"/>
      <c r="F65" s="50"/>
      <c r="G65" s="50"/>
    </row>
    <row r="66" spans="2:7" s="23" customFormat="1" hidden="1" x14ac:dyDescent="0.35">
      <c r="D66" s="50"/>
      <c r="E66" s="50"/>
      <c r="F66" s="50"/>
      <c r="G66" s="50"/>
    </row>
    <row r="67" spans="2:7" s="23" customFormat="1" hidden="1" x14ac:dyDescent="0.35">
      <c r="B67" s="23" t="s">
        <v>250</v>
      </c>
      <c r="C67" s="23" t="str">
        <f>IF(H2&lt;17,"beide",F1)</f>
        <v>beide</v>
      </c>
      <c r="D67" s="50"/>
      <c r="E67" s="50"/>
      <c r="F67" s="50"/>
      <c r="G67" s="50"/>
    </row>
    <row r="68" spans="2:7" s="23" customFormat="1" hidden="1" x14ac:dyDescent="0.35">
      <c r="B68" s="23" t="s">
        <v>17</v>
      </c>
      <c r="C68" s="23" t="str">
        <f>"TV_"&amp;C67&amp;"_"&amp;C55</f>
        <v>TV_beide_16_17</v>
      </c>
      <c r="D68" s="50"/>
      <c r="E68" s="50"/>
      <c r="F68" s="50"/>
      <c r="G68" s="50"/>
    </row>
    <row r="69" spans="2:7" x14ac:dyDescent="0.35"/>
    <row r="70" spans="2:7" x14ac:dyDescent="0.35"/>
  </sheetData>
  <sheetProtection algorithmName="SHA-512" hashValue="hIAklWF0+dBLFWRIdLIL/uIb7OXsooPGHhrlrVmmKd7k/DngZrMLTO+x1bMeF2ks/+x9SHGCEgr0z6Wynebq9Q==" saltValue="Pbfbb29JZ9K6euANW76Q5A==" spinCount="100000" sheet="1" objects="1" scenarios="1" selectLockedCells="1"/>
  <protectedRanges>
    <protectedRange sqref="H1:H2 F1:F2 B1:B2" name="Athletendaten"/>
    <protectedRange sqref="F38:F49 D69:E440 C69:C441 F4:F8 C38:E68 C11:E16 F11:F17 C20:F35" name="Werte und Varianten"/>
    <protectedRange algorithmName="SHA-512" hashValue="EtPG7jm6pk6JVG08ToKZL4Sto4PS6TOUsygvFmj6DTfcGnX6DwKdfjTEg/2X1Hwnu/CwfNhBUSnXKs/oLqcupQ==" saltValue="sPse4fdTsI5OFESYvRIl8Q==" spinCount="100000" sqref="H4:H8 H38:H49 H20:H35 H11:H17" name="Punktzahlen"/>
  </protectedRanges>
  <mergeCells count="44">
    <mergeCell ref="A50:G50"/>
    <mergeCell ref="A51:G51"/>
    <mergeCell ref="A44:D44"/>
    <mergeCell ref="A45:D45"/>
    <mergeCell ref="A46:D46"/>
    <mergeCell ref="A47:D47"/>
    <mergeCell ref="A48:D48"/>
    <mergeCell ref="A49:D49"/>
    <mergeCell ref="A43:D43"/>
    <mergeCell ref="A32:B32"/>
    <mergeCell ref="A33:B33"/>
    <mergeCell ref="A34:B34"/>
    <mergeCell ref="A35:B35"/>
    <mergeCell ref="A36:G36"/>
    <mergeCell ref="A37:D37"/>
    <mergeCell ref="A38:D38"/>
    <mergeCell ref="A39:D39"/>
    <mergeCell ref="A40:D40"/>
    <mergeCell ref="A41:D41"/>
    <mergeCell ref="A42:D42"/>
    <mergeCell ref="A31:B31"/>
    <mergeCell ref="A13:E13"/>
    <mergeCell ref="A14:E14"/>
    <mergeCell ref="A15:E15"/>
    <mergeCell ref="A16:E16"/>
    <mergeCell ref="A18:G18"/>
    <mergeCell ref="A19:C19"/>
    <mergeCell ref="A20:B20"/>
    <mergeCell ref="A21:B21"/>
    <mergeCell ref="A22:B22"/>
    <mergeCell ref="A23:B23"/>
    <mergeCell ref="A30:B30"/>
    <mergeCell ref="A12:E12"/>
    <mergeCell ref="B1:E1"/>
    <mergeCell ref="B2:F2"/>
    <mergeCell ref="A3:E3"/>
    <mergeCell ref="A4:E4"/>
    <mergeCell ref="A5:E5"/>
    <mergeCell ref="A6:E6"/>
    <mergeCell ref="A7:E7"/>
    <mergeCell ref="A8:E8"/>
    <mergeCell ref="A9:G9"/>
    <mergeCell ref="A10:E10"/>
    <mergeCell ref="A11:E11"/>
  </mergeCells>
  <conditionalFormatting sqref="F46:F49">
    <cfRule type="expression" dxfId="215" priority="3">
      <formula>$A46=" "</formula>
    </cfRule>
  </conditionalFormatting>
  <conditionalFormatting sqref="B24:B29 C21:E29">
    <cfRule type="expression" dxfId="214" priority="2">
      <formula>$A21="entfällt"</formula>
    </cfRule>
    <cfRule type="expression" dxfId="213" priority="4">
      <formula>$H$2&gt;14</formula>
    </cfRule>
  </conditionalFormatting>
  <conditionalFormatting sqref="B24:B29">
    <cfRule type="expression" dxfId="212" priority="1">
      <formula>AND($A24="TN",$C24&lt;&gt;"")</formula>
    </cfRule>
  </conditionalFormatting>
  <dataValidations count="19">
    <dataValidation type="decimal" errorStyle="warning" allowBlank="1" showInputMessage="1" showErrorMessage="1" error="Eingegebener Abzug überschreitet maximal zulässigen Abzug, Wert bitte überprüfen!" sqref="F21:F35" xr:uid="{98F87297-C7F0-4090-8E3C-BA7EF115A259}">
      <formula1>0</formula1>
      <formula2>$E21</formula2>
    </dataValidation>
    <dataValidation type="list" allowBlank="1" showInputMessage="1" showErrorMessage="1" sqref="C20" xr:uid="{5BA6A5D8-EA01-4E90-9A04-4CFF5B82E4AF}">
      <formula1>"Lichtschranke,Druckmessplatte"</formula1>
    </dataValidation>
    <dataValidation type="whole" allowBlank="1" showInputMessage="1" showErrorMessage="1" errorTitle="Falsche Eingabe" error="Bitte Wert prüfen" sqref="D17" xr:uid="{C6B5823E-A27A-4FEA-90C2-C61A87544AD8}">
      <formula1>1</formula1>
      <formula2>13</formula2>
    </dataValidation>
    <dataValidation type="list" allowBlank="1" showInputMessage="1" sqref="C24:C29" xr:uid="{EF56B579-BB02-463A-AA8A-CA4CDBA8B81D}">
      <formula1>INDIRECT($C$61)</formula1>
    </dataValidation>
    <dataValidation type="list" allowBlank="1" showInputMessage="1" sqref="C21:C23" xr:uid="{82A788B6-E9E8-467F-9186-CCE6257F673F}">
      <formula1>INDIRECT($C$58)</formula1>
    </dataValidation>
    <dataValidation allowBlank="1" showInputMessage="1" showErrorMessage="1" prompt="Anzahl der Wiederholungen" sqref="F11" xr:uid="{67085CA1-B4D2-4F88-B168-23D1A470BB49}"/>
    <dataValidation type="whole" allowBlank="1" showInputMessage="1" showErrorMessage="1" prompt="Abstand von der Oberkante des Turnhockers zur schlechtesten Fingerspitze in cm" sqref="F6" xr:uid="{F8E1D8B9-8A48-46C1-82C8-87836AC03FFD}">
      <formula1>-50</formula1>
      <formula2>50</formula2>
    </dataValidation>
    <dataValidation type="list" allowBlank="1" showInputMessage="1" showErrorMessage="1" prompt="Punktzahl nach Vergleich mit Bild" sqref="F5" xr:uid="{52F339E4-C29B-422E-ADFD-4C1F70A97EC7}">
      <formula1>"0,2,6,10"</formula1>
    </dataValidation>
    <dataValidation type="whole" allowBlank="1" showErrorMessage="1" errorTitle="Falsche Eingabe" error="Bitte Wert prüfen" prompt="Höchste erreichte Stufe" sqref="F17" xr:uid="{9FCC029A-F17F-454A-8D04-BD4DED58178E}">
      <formula1>1</formula1>
      <formula2>11</formula2>
    </dataValidation>
    <dataValidation allowBlank="1" sqref="D20:E20" xr:uid="{9A68C668-9EF5-41F0-B717-88EEA92D3B86}"/>
    <dataValidation type="decimal" errorStyle="warning" allowBlank="1" showInputMessage="1" showErrorMessage="1" error="Abzug höher als Wert des Elements, bitte überprüfen!" prompt="Abzug" sqref="F38:F49" xr:uid="{22C83E5C-2DCF-4F99-BD52-FD01DD73BAC5}">
      <formula1>0</formula1>
      <formula2>$E38</formula2>
    </dataValidation>
    <dataValidation type="whole" allowBlank="1" showInputMessage="1" showErrorMessage="1" prompt="AKs 9 - 13: Übersprungene Kästchen_x000a__x000a_AKs 14 - 21: Anzahl Saltos" sqref="F15" xr:uid="{DD962B60-BB6B-40E9-8C22-752C03A42B80}">
      <formula1>0</formula1>
      <formula2>50</formula2>
    </dataValidation>
    <dataValidation type="list" allowBlank="1" showInputMessage="1" showErrorMessage="1" sqref="F1" xr:uid="{6F2EDE01-BE79-4E5D-9C7D-829A815B92A8}">
      <formula1>"männlich,weiblich"</formula1>
    </dataValidation>
    <dataValidation type="whole" allowBlank="1" showInputMessage="1" showErrorMessage="1" sqref="H4:H8" xr:uid="{FFA57333-C104-488E-84D2-C5816594D0D7}">
      <formula1>0</formula1>
      <formula2>10</formula2>
    </dataValidation>
    <dataValidation type="whole" allowBlank="1" showInputMessage="1" showErrorMessage="1" prompt="Haltezeit in Sekunden" sqref="F13" xr:uid="{3B4F5434-825E-4CB8-9668-58A49331973B}">
      <formula1>0</formula1>
      <formula2>200</formula2>
    </dataValidation>
    <dataValidation type="whole" allowBlank="1" showInputMessage="1" showErrorMessage="1" prompt="Haltezeit in Sekunden" sqref="F16" xr:uid="{96398875-69B3-4865-952D-636984A91C36}">
      <formula1>0</formula1>
      <formula2>100</formula2>
    </dataValidation>
    <dataValidation type="whole" allowBlank="1" showInputMessage="1" showErrorMessage="1" prompt="Anzahl der Wiederholungen" sqref="F14 F12" xr:uid="{F5D45C85-25D4-444A-A663-99140A4AB0C9}">
      <formula1>0</formula1>
      <formula2>50</formula2>
    </dataValidation>
    <dataValidation type="list" operator="equal" allowBlank="1" showInputMessage="1" showErrorMessage="1" prompt="Punktzahl nach Vergleich mit Bild" sqref="F4" xr:uid="{85BA1CC0-1638-4F30-A856-3CE24F123A23}">
      <formula1>"0,2,6,10"</formula1>
    </dataValidation>
    <dataValidation type="decimal" errorStyle="warning" showDropDown="1" showErrorMessage="1" error="Wert unrealistisch hoch, bitte Eingabe überprüfen" promptTitle="Vorsicht" sqref="F20" xr:uid="{8BA49096-924A-4683-B1D0-75601A2EAD45}">
      <formula1>0</formula1>
      <formula2>30</formula2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Bitte Werte aus Dropdown auswählen" prompt="Abstand vom Boden laut Schablone" xr:uid="{77B98F77-64DE-49C2-9F05-64093FBF1F1F}">
          <x14:formula1>
            <xm:f>Punktetabellen!$A$3:$A$6</xm:f>
          </x14:formula1>
          <xm:sqref>F7:F8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35144-1576-49D6-85F9-3B4994A0240C}">
  <sheetPr codeName="Tabelle18">
    <tabColor indexed="47"/>
    <pageSetUpPr fitToPage="1"/>
  </sheetPr>
  <dimension ref="A1:J70"/>
  <sheetViews>
    <sheetView zoomScale="85" zoomScaleNormal="85" workbookViewId="0">
      <pane ySplit="2" topLeftCell="A3" activePane="bottomLeft" state="frozen"/>
      <selection sqref="A1:H1"/>
      <selection pane="bottomLeft" activeCell="F24" sqref="F24"/>
    </sheetView>
  </sheetViews>
  <sheetFormatPr baseColWidth="10" defaultColWidth="0" defaultRowHeight="14.5" zeroHeight="1" outlineLevelRow="1" x14ac:dyDescent="0.35"/>
  <cols>
    <col min="1" max="1" width="11.453125" customWidth="1"/>
    <col min="2" max="2" width="12.1796875" customWidth="1"/>
    <col min="3" max="3" width="44.81640625" bestFit="1" customWidth="1"/>
    <col min="4" max="5" width="11.453125" style="148" customWidth="1"/>
    <col min="6" max="6" width="16.1796875" style="148" bestFit="1" customWidth="1"/>
    <col min="7" max="7" width="13.81640625" style="148" customWidth="1"/>
    <col min="8" max="8" width="11.453125" customWidth="1"/>
    <col min="9" max="9" width="6.1796875" style="23" hidden="1" customWidth="1"/>
    <col min="10" max="10" width="0" hidden="1" customWidth="1"/>
    <col min="11" max="16384" width="11.453125" hidden="1"/>
  </cols>
  <sheetData>
    <row r="1" spans="1:8" ht="15.5" x14ac:dyDescent="0.35">
      <c r="A1" s="16" t="s">
        <v>1</v>
      </c>
      <c r="B1" s="186" t="s">
        <v>366</v>
      </c>
      <c r="C1" s="187"/>
      <c r="D1" s="187"/>
      <c r="E1" s="188"/>
      <c r="F1" s="51" t="s">
        <v>97</v>
      </c>
      <c r="G1" s="61" t="s">
        <v>24</v>
      </c>
      <c r="H1" s="63">
        <v>2008</v>
      </c>
    </row>
    <row r="2" spans="1:8" ht="16" thickBot="1" x14ac:dyDescent="0.4">
      <c r="A2" s="17" t="s">
        <v>4</v>
      </c>
      <c r="B2" s="198" t="s">
        <v>361</v>
      </c>
      <c r="C2" s="199"/>
      <c r="D2" s="199"/>
      <c r="E2" s="199"/>
      <c r="F2" s="200"/>
      <c r="G2" s="62" t="s">
        <v>3</v>
      </c>
      <c r="H2" s="64">
        <f>2022-H1</f>
        <v>14</v>
      </c>
    </row>
    <row r="3" spans="1:8" ht="15" outlineLevel="1" thickBot="1" x14ac:dyDescent="0.4">
      <c r="A3" s="189" t="s">
        <v>26</v>
      </c>
      <c r="B3" s="190"/>
      <c r="C3" s="190"/>
      <c r="D3" s="190"/>
      <c r="E3" s="191"/>
      <c r="F3" s="46" t="s">
        <v>27</v>
      </c>
      <c r="G3" s="47" t="s">
        <v>28</v>
      </c>
      <c r="H3" s="22" t="s">
        <v>234</v>
      </c>
    </row>
    <row r="4" spans="1:8" outlineLevel="1" x14ac:dyDescent="0.35">
      <c r="A4" s="192" t="s">
        <v>30</v>
      </c>
      <c r="B4" s="193"/>
      <c r="C4" s="193"/>
      <c r="D4" s="193"/>
      <c r="E4" s="194"/>
      <c r="F4" s="25">
        <v>10</v>
      </c>
      <c r="G4" s="55" t="s">
        <v>32</v>
      </c>
      <c r="H4" s="34">
        <f>F4</f>
        <v>10</v>
      </c>
    </row>
    <row r="5" spans="1:8" outlineLevel="1" x14ac:dyDescent="0.35">
      <c r="A5" s="195" t="s">
        <v>85</v>
      </c>
      <c r="B5" s="196"/>
      <c r="C5" s="196"/>
      <c r="D5" s="196"/>
      <c r="E5" s="197"/>
      <c r="F5" s="14">
        <v>10</v>
      </c>
      <c r="G5" s="56" t="s">
        <v>32</v>
      </c>
      <c r="H5" s="35">
        <f>F5</f>
        <v>10</v>
      </c>
    </row>
    <row r="6" spans="1:8" outlineLevel="1" x14ac:dyDescent="0.35">
      <c r="A6" s="195" t="s">
        <v>33</v>
      </c>
      <c r="B6" s="196"/>
      <c r="C6" s="196"/>
      <c r="D6" s="196"/>
      <c r="E6" s="197"/>
      <c r="F6" s="14">
        <v>20</v>
      </c>
      <c r="G6" s="56" t="s">
        <v>31</v>
      </c>
      <c r="H6" s="35">
        <f>IF(F6="",0,VLOOKUP(F6,Punktetabellen!A10:B15,2,1))</f>
        <v>10</v>
      </c>
    </row>
    <row r="7" spans="1:8" outlineLevel="1" x14ac:dyDescent="0.35">
      <c r="A7" s="195" t="s">
        <v>34</v>
      </c>
      <c r="B7" s="196"/>
      <c r="C7" s="196"/>
      <c r="D7" s="196"/>
      <c r="E7" s="197"/>
      <c r="F7" s="14">
        <v>0</v>
      </c>
      <c r="G7" s="56" t="s">
        <v>31</v>
      </c>
      <c r="H7" s="35">
        <f>IF(F7="",0,VLOOKUP(F7,Punktetabellen!A3:B6,2,0))</f>
        <v>5</v>
      </c>
    </row>
    <row r="8" spans="1:8" ht="15" outlineLevel="1" thickBot="1" x14ac:dyDescent="0.4">
      <c r="A8" s="204" t="s">
        <v>35</v>
      </c>
      <c r="B8" s="205"/>
      <c r="C8" s="205"/>
      <c r="D8" s="205"/>
      <c r="E8" s="206"/>
      <c r="F8" s="41">
        <v>0</v>
      </c>
      <c r="G8" s="57" t="s">
        <v>31</v>
      </c>
      <c r="H8" s="36">
        <f>IF(F8="",0,VLOOKUP(F8,Punktetabellen!A3:B6,2,0))</f>
        <v>5</v>
      </c>
    </row>
    <row r="9" spans="1:8" ht="15" thickBot="1" x14ac:dyDescent="0.4">
      <c r="A9" s="210" t="s">
        <v>36</v>
      </c>
      <c r="B9" s="211"/>
      <c r="C9" s="211"/>
      <c r="D9" s="211"/>
      <c r="E9" s="211"/>
      <c r="F9" s="211"/>
      <c r="G9" s="211"/>
      <c r="H9" s="48">
        <f>SUM(H4:H8)</f>
        <v>40</v>
      </c>
    </row>
    <row r="10" spans="1:8" ht="15" outlineLevel="1" thickBot="1" x14ac:dyDescent="0.4">
      <c r="A10" s="189" t="s">
        <v>26</v>
      </c>
      <c r="B10" s="190"/>
      <c r="C10" s="190"/>
      <c r="D10" s="190"/>
      <c r="E10" s="191"/>
      <c r="F10" s="46" t="s">
        <v>27</v>
      </c>
      <c r="G10" s="47" t="s">
        <v>28</v>
      </c>
      <c r="H10" s="22" t="s">
        <v>234</v>
      </c>
    </row>
    <row r="11" spans="1:8" outlineLevel="1" x14ac:dyDescent="0.35">
      <c r="A11" s="207" t="s">
        <v>37</v>
      </c>
      <c r="B11" s="208"/>
      <c r="C11" s="208"/>
      <c r="D11" s="208"/>
      <c r="E11" s="209"/>
      <c r="F11" s="26">
        <v>1</v>
      </c>
      <c r="G11" s="58" t="s">
        <v>31</v>
      </c>
      <c r="H11" s="37">
        <f>IF($F11="",0,VLOOKUP($F11,Pkte_Klimmzug[],$H$2,1))</f>
        <v>0</v>
      </c>
    </row>
    <row r="12" spans="1:8" outlineLevel="1" x14ac:dyDescent="0.35">
      <c r="A12" s="201" t="s">
        <v>38</v>
      </c>
      <c r="B12" s="202"/>
      <c r="C12" s="202"/>
      <c r="D12" s="202"/>
      <c r="E12" s="203"/>
      <c r="F12" s="27">
        <v>1</v>
      </c>
      <c r="G12" s="59" t="s">
        <v>31</v>
      </c>
      <c r="H12" s="38">
        <f>IF($F12="",0,VLOOKUP($F12,Pkte_Beinheben[],$H$2,1))</f>
        <v>1</v>
      </c>
    </row>
    <row r="13" spans="1:8" outlineLevel="1" x14ac:dyDescent="0.35">
      <c r="A13" s="201" t="s">
        <v>88</v>
      </c>
      <c r="B13" s="202"/>
      <c r="C13" s="202"/>
      <c r="D13" s="202"/>
      <c r="E13" s="203"/>
      <c r="F13" s="27">
        <v>100</v>
      </c>
      <c r="G13" s="59" t="s">
        <v>31</v>
      </c>
      <c r="H13" s="38">
        <f>IF($F13="",0,VLOOKUP($F13,Pkte_Flieger[],$H$2,1))</f>
        <v>10</v>
      </c>
    </row>
    <row r="14" spans="1:8" outlineLevel="1" x14ac:dyDescent="0.35">
      <c r="A14" s="201" t="s">
        <v>39</v>
      </c>
      <c r="B14" s="202"/>
      <c r="C14" s="202"/>
      <c r="D14" s="202"/>
      <c r="E14" s="203"/>
      <c r="F14" s="27">
        <v>25</v>
      </c>
      <c r="G14" s="59" t="s">
        <v>31</v>
      </c>
      <c r="H14" s="38">
        <f>IF($F14="",0,VLOOKUP($F14,Pkte_Rollenverbindung[],$H$2,1))</f>
        <v>10</v>
      </c>
    </row>
    <row r="15" spans="1:8" outlineLevel="1" x14ac:dyDescent="0.35">
      <c r="A15" s="201" t="s">
        <v>89</v>
      </c>
      <c r="B15" s="202"/>
      <c r="C15" s="202"/>
      <c r="D15" s="202"/>
      <c r="E15" s="203"/>
      <c r="F15" s="27">
        <v>35</v>
      </c>
      <c r="G15" s="59" t="s">
        <v>31</v>
      </c>
      <c r="H15" s="38">
        <f>IF($F15="",0,VLOOKUP($F15,Pkte_Prellsprung[],$H$2,1))</f>
        <v>7</v>
      </c>
    </row>
    <row r="16" spans="1:8" outlineLevel="1" x14ac:dyDescent="0.35">
      <c r="A16" s="201" t="s">
        <v>90</v>
      </c>
      <c r="B16" s="202"/>
      <c r="C16" s="202"/>
      <c r="D16" s="202"/>
      <c r="E16" s="203"/>
      <c r="F16" s="28">
        <v>30</v>
      </c>
      <c r="G16" s="59" t="s">
        <v>31</v>
      </c>
      <c r="H16" s="38">
        <f>IF($F16="",0,VLOOKUP($F16,Pkte_Handstand[],$H$2,1))</f>
        <v>10</v>
      </c>
    </row>
    <row r="17" spans="1:8" ht="15" outlineLevel="1" thickBot="1" x14ac:dyDescent="0.4">
      <c r="A17" s="112" t="s">
        <v>93</v>
      </c>
      <c r="B17" s="113"/>
      <c r="C17" s="114" t="s">
        <v>269</v>
      </c>
      <c r="D17" s="29">
        <v>6</v>
      </c>
      <c r="E17" s="115" t="s">
        <v>270</v>
      </c>
      <c r="F17" s="29">
        <v>2</v>
      </c>
      <c r="G17" s="60" t="s">
        <v>31</v>
      </c>
      <c r="H17" s="39">
        <f>IF($F17="",0,IF($F$1="weiblich",VLOOKUP((100*$D17+$F17),Pkte_Shuttle_W[],$H$2,1),VLOOKUP((100*$D17+$F17),Pkte_Shuttle_M[],$H$2,1)))</f>
        <v>2</v>
      </c>
    </row>
    <row r="18" spans="1:8" ht="15" thickBot="1" x14ac:dyDescent="0.4">
      <c r="A18" s="161" t="s">
        <v>40</v>
      </c>
      <c r="B18" s="162"/>
      <c r="C18" s="162"/>
      <c r="D18" s="162"/>
      <c r="E18" s="162"/>
      <c r="F18" s="162"/>
      <c r="G18" s="162"/>
      <c r="H18" s="48">
        <f>SUM(H12:H17)</f>
        <v>40</v>
      </c>
    </row>
    <row r="19" spans="1:8" ht="15" outlineLevel="1" thickBot="1" x14ac:dyDescent="0.4">
      <c r="A19" s="159" t="s">
        <v>26</v>
      </c>
      <c r="B19" s="160"/>
      <c r="C19" s="160"/>
      <c r="D19" s="85" t="s">
        <v>235</v>
      </c>
      <c r="E19" s="85" t="s">
        <v>238</v>
      </c>
      <c r="F19" s="85" t="s">
        <v>236</v>
      </c>
      <c r="G19" s="86" t="s">
        <v>28</v>
      </c>
      <c r="H19" s="49" t="s">
        <v>234</v>
      </c>
    </row>
    <row r="20" spans="1:8" outlineLevel="1" x14ac:dyDescent="0.35">
      <c r="A20" s="167" t="s">
        <v>148</v>
      </c>
      <c r="B20" s="168"/>
      <c r="C20" s="116" t="str">
        <f>Infos!A10</f>
        <v>Druckmessplatte</v>
      </c>
      <c r="D20" s="90">
        <f>IF(F1="männlich",VLOOKUP(H2,Standsprünge!A3:C15,3,0),VLOOKUP(H2,Standsprünge!A3:B15,2,0))+IF(C20="Druckmessplatte",0)</f>
        <v>15.6</v>
      </c>
      <c r="E20" s="90"/>
      <c r="F20" s="67">
        <v>16.024999999999999</v>
      </c>
      <c r="G20" s="91" t="s">
        <v>149</v>
      </c>
      <c r="H20" s="88">
        <f>IF(F20="",0,(F20-D20)*10)</f>
        <v>4.2499999999999893</v>
      </c>
    </row>
    <row r="21" spans="1:8" outlineLevel="1" x14ac:dyDescent="0.35">
      <c r="A21" s="165" t="str">
        <f>IF(H2&gt;15,"entfällt","TBN")</f>
        <v>TBN</v>
      </c>
      <c r="B21" s="166"/>
      <c r="C21" s="77" t="s">
        <v>350</v>
      </c>
      <c r="D21" s="78">
        <v>10</v>
      </c>
      <c r="E21" s="78">
        <f ca="1">IF(C21="","",VLOOKUP(C21,INDIRECT($C$57),3,0))</f>
        <v>6</v>
      </c>
      <c r="F21" s="42">
        <v>2</v>
      </c>
      <c r="G21" s="71" t="str">
        <f>IF(H2&gt;16,"entfällt","Wert - Abzug")</f>
        <v>Wert - Abzug</v>
      </c>
      <c r="H21" s="66">
        <f>IF(A21="entfällt",0,IF(F21="",0,D21-F21))</f>
        <v>8</v>
      </c>
    </row>
    <row r="22" spans="1:8" outlineLevel="1" x14ac:dyDescent="0.35">
      <c r="A22" s="165" t="str">
        <f>IF(H2&gt;15,"entfällt","TBN")</f>
        <v>TBN</v>
      </c>
      <c r="B22" s="166"/>
      <c r="C22" s="77" t="s">
        <v>354</v>
      </c>
      <c r="D22" s="78">
        <v>10</v>
      </c>
      <c r="E22" s="78">
        <f ca="1">IF(C22="","",VLOOKUP(C22,INDIRECT($C$57),3,0))</f>
        <v>6</v>
      </c>
      <c r="F22" s="42">
        <v>6</v>
      </c>
      <c r="G22" s="71" t="str">
        <f>IF(H2&gt;16,"entfällt","Wert - Abzug")</f>
        <v>Wert - Abzug</v>
      </c>
      <c r="H22" s="66">
        <f t="shared" ref="H22:H28" si="0">IF(A22="entfällt",0,IF(F22="",0,D22-F22))</f>
        <v>4</v>
      </c>
    </row>
    <row r="23" spans="1:8" outlineLevel="1" x14ac:dyDescent="0.35">
      <c r="A23" s="165" t="str">
        <f>IF(H2&gt;11,"entfällt","TBN")</f>
        <v>entfällt</v>
      </c>
      <c r="B23" s="166"/>
      <c r="C23" s="77"/>
      <c r="D23" s="78" t="str">
        <f ca="1">IF(C23="","",VLOOKUP(C23,INDIRECT($C$57),2,0))</f>
        <v/>
      </c>
      <c r="E23" s="78" t="str">
        <f ca="1">IF(C23="","",VLOOKUP(C23,INDIRECT($C$57),3,0))</f>
        <v/>
      </c>
      <c r="F23" s="42"/>
      <c r="G23" s="71" t="str">
        <f>IF(H2&gt;16,"entfällt","Wert - Abzug")</f>
        <v>Wert - Abzug</v>
      </c>
      <c r="H23" s="66">
        <f t="shared" si="0"/>
        <v>0</v>
      </c>
    </row>
    <row r="24" spans="1:8" outlineLevel="1" x14ac:dyDescent="0.35">
      <c r="A24" s="110" t="s">
        <v>147</v>
      </c>
      <c r="B24" s="111"/>
      <c r="C24" s="77" t="s">
        <v>185</v>
      </c>
      <c r="D24" s="78">
        <v>15</v>
      </c>
      <c r="E24" s="78">
        <v>6</v>
      </c>
      <c r="F24" s="42">
        <v>4</v>
      </c>
      <c r="G24" s="71" t="s">
        <v>146</v>
      </c>
      <c r="H24" s="66">
        <f t="shared" si="0"/>
        <v>11</v>
      </c>
    </row>
    <row r="25" spans="1:8" outlineLevel="1" x14ac:dyDescent="0.35">
      <c r="A25" s="110" t="s">
        <v>147</v>
      </c>
      <c r="B25" s="111"/>
      <c r="C25" s="77" t="s">
        <v>184</v>
      </c>
      <c r="D25" s="78">
        <v>13</v>
      </c>
      <c r="E25" s="78">
        <v>6</v>
      </c>
      <c r="F25" s="42">
        <v>6</v>
      </c>
      <c r="G25" s="71" t="s">
        <v>146</v>
      </c>
      <c r="H25" s="66">
        <f t="shared" si="0"/>
        <v>7</v>
      </c>
    </row>
    <row r="26" spans="1:8" outlineLevel="1" x14ac:dyDescent="0.35">
      <c r="A26" s="110" t="s">
        <v>147</v>
      </c>
      <c r="B26" s="111"/>
      <c r="C26" s="77" t="s">
        <v>188</v>
      </c>
      <c r="D26" s="78">
        <v>13</v>
      </c>
      <c r="E26" s="78">
        <v>6</v>
      </c>
      <c r="F26" s="42">
        <v>6</v>
      </c>
      <c r="G26" s="71" t="s">
        <v>146</v>
      </c>
      <c r="H26" s="66">
        <f t="shared" si="0"/>
        <v>7</v>
      </c>
    </row>
    <row r="27" spans="1:8" outlineLevel="1" x14ac:dyDescent="0.35">
      <c r="A27" s="110" t="str">
        <f>IF(H2&gt;11,"TN","entfällt")</f>
        <v>TN</v>
      </c>
      <c r="B27" s="111"/>
      <c r="C27" s="77" t="s">
        <v>216</v>
      </c>
      <c r="D27" s="78">
        <v>13</v>
      </c>
      <c r="E27" s="78">
        <v>6</v>
      </c>
      <c r="F27" s="42">
        <v>4</v>
      </c>
      <c r="G27" s="71" t="str">
        <f>IF(H2&gt;12,"Wert - Abzug","entfällt")</f>
        <v>Wert - Abzug</v>
      </c>
      <c r="H27" s="66">
        <f t="shared" si="0"/>
        <v>9</v>
      </c>
    </row>
    <row r="28" spans="1:8" outlineLevel="1" x14ac:dyDescent="0.35">
      <c r="A28" s="110" t="str">
        <f>IF(H2&gt;15,"TN","entfällt")</f>
        <v>entfällt</v>
      </c>
      <c r="B28" s="111"/>
      <c r="C28" s="77"/>
      <c r="D28" s="78"/>
      <c r="E28" s="78"/>
      <c r="F28" s="42"/>
      <c r="G28" s="71" t="str">
        <f>IF(H2&gt;16,"Wert - Abzug","entfällt")</f>
        <v>entfällt</v>
      </c>
      <c r="H28" s="66">
        <f t="shared" si="0"/>
        <v>0</v>
      </c>
    </row>
    <row r="29" spans="1:8" outlineLevel="1" x14ac:dyDescent="0.35">
      <c r="A29" s="110" t="str">
        <f>IF(H2&gt;15,"TN","entfällt")</f>
        <v>entfällt</v>
      </c>
      <c r="B29" s="111"/>
      <c r="C29" s="77"/>
      <c r="D29" s="78"/>
      <c r="E29" s="78"/>
      <c r="F29" s="42"/>
      <c r="G29" s="71" t="str">
        <f>IF(H2&gt;16,"Wert - Abzug","entfällt")</f>
        <v>entfällt</v>
      </c>
      <c r="H29" s="66">
        <f>IF(A29="entfällt",0,IF(F29="",0,D29-F29))</f>
        <v>0</v>
      </c>
    </row>
    <row r="30" spans="1:8" outlineLevel="1" x14ac:dyDescent="0.35">
      <c r="A30" s="165" t="str">
        <f>IF($H$2&gt;10,"Verbindung Sprung 1","entfällt")</f>
        <v>Verbindung Sprung 1</v>
      </c>
      <c r="B30" s="166"/>
      <c r="C30" s="40" t="str">
        <f ca="1">IF(A30&lt;&gt;"entfällt",VLOOKUP(1,INDIRECT($C$68),2,0),"")</f>
        <v>801&lt;</v>
      </c>
      <c r="D30" s="40">
        <f ca="1">IF(A30&lt;&gt;"entfällt",VLOOKUP(1,INDIRECT($C$68),3,0),"")</f>
        <v>13</v>
      </c>
      <c r="E30" s="40">
        <f ca="1">IF(A30&lt;&gt;"entfällt",VLOOKUP(1,INDIRECT($C$68),4,0),"")</f>
        <v>3</v>
      </c>
      <c r="F30" s="42">
        <v>3</v>
      </c>
      <c r="G30" s="71" t="str">
        <f>IF(H2&gt;12,"Wert - Abzug","entfällt")</f>
        <v>Wert - Abzug</v>
      </c>
      <c r="H30" s="66"/>
    </row>
    <row r="31" spans="1:8" outlineLevel="1" x14ac:dyDescent="0.35">
      <c r="A31" s="165" t="str">
        <f>IF($H$2&gt;10,"Verbindung Sprung 2","entfällt")</f>
        <v>Verbindung Sprung 2</v>
      </c>
      <c r="B31" s="166"/>
      <c r="C31" s="40" t="str">
        <f ca="1">IF(A31&lt;&gt;"entfällt",VLOOKUP(2,INDIRECT($C$68),2,0),"")</f>
        <v>40&lt;</v>
      </c>
      <c r="D31" s="40">
        <f ca="1">IF(A31&lt;&gt;"entfällt",VLOOKUP(2,INDIRECT($C$68),3,0),"")</f>
        <v>6</v>
      </c>
      <c r="E31" s="40">
        <f ca="1">IF(A31&lt;&gt;"entfällt",VLOOKUP(2,INDIRECT($C$68),4,0),"")</f>
        <v>3</v>
      </c>
      <c r="F31" s="42">
        <v>1</v>
      </c>
      <c r="G31" s="71" t="str">
        <f>IF(H2&gt;12,"Wert - Abzug","entfällt")</f>
        <v>Wert - Abzug</v>
      </c>
      <c r="H31" s="66"/>
    </row>
    <row r="32" spans="1:8" outlineLevel="1" x14ac:dyDescent="0.35">
      <c r="A32" s="165" t="str">
        <f>IF($H$2&gt;10,"Verbindung Sprung 3","entfällt")</f>
        <v>Verbindung Sprung 3</v>
      </c>
      <c r="B32" s="166"/>
      <c r="C32" s="40" t="str">
        <f ca="1">IF(A32&lt;&gt;"entfällt",VLOOKUP(3,INDIRECT($C$68),2,0),"")</f>
        <v>801°</v>
      </c>
      <c r="D32" s="40">
        <f ca="1">IF(A32&lt;&gt;"entfällt",VLOOKUP(3,INDIRECT($C$68),3,0),"")</f>
        <v>11</v>
      </c>
      <c r="E32" s="40">
        <f ca="1">IF(A32&lt;&gt;"entfällt",VLOOKUP(3,INDIRECT($C$68),4,0),"")</f>
        <v>3</v>
      </c>
      <c r="F32" s="42">
        <v>2</v>
      </c>
      <c r="G32" s="71" t="str">
        <f>IF(H2&gt;12,"Wert - Abzug","entfällt")</f>
        <v>Wert - Abzug</v>
      </c>
      <c r="H32" s="66"/>
    </row>
    <row r="33" spans="1:8" outlineLevel="1" x14ac:dyDescent="0.35">
      <c r="A33" s="165" t="str">
        <f>IF($H$2&gt;10,"Verbindung Sprung 4","entfällt")</f>
        <v>Verbindung Sprung 4</v>
      </c>
      <c r="B33" s="166"/>
      <c r="C33" s="40" t="str">
        <f ca="1">IF(A33&lt;&gt;"entfällt",VLOOKUP(4,INDIRECT($C$68),2,0),"")</f>
        <v>40/</v>
      </c>
      <c r="D33" s="40">
        <f ca="1">IF(A33&lt;&gt;"entfällt",VLOOKUP(4,INDIRECT($C$68),3,0),"")</f>
        <v>6</v>
      </c>
      <c r="E33" s="40">
        <f ca="1">IF(A33&lt;&gt;"entfällt",VLOOKUP(4,INDIRECT($C$68),4,0),"")</f>
        <v>3</v>
      </c>
      <c r="F33" s="42">
        <v>1</v>
      </c>
      <c r="G33" s="71" t="str">
        <f>IF(H2&gt;12,"Wert - Abzug","entfällt")</f>
        <v>Wert - Abzug</v>
      </c>
      <c r="H33" s="66"/>
    </row>
    <row r="34" spans="1:8" outlineLevel="1" x14ac:dyDescent="0.35">
      <c r="A34" s="165" t="str">
        <f>IF($H$2&gt;10,"Verbindung Sprung 5","entfällt")</f>
        <v>Verbindung Sprung 5</v>
      </c>
      <c r="B34" s="166"/>
      <c r="C34" s="40" t="str">
        <f ca="1">IF(A34&lt;&gt;"entfällt",VLOOKUP(5,INDIRECT($C$68),2,0),"")</f>
        <v>41/</v>
      </c>
      <c r="D34" s="40">
        <f ca="1">IF(A34&lt;&gt;"entfällt",VLOOKUP(5,INDIRECT($C$68),3,0),"")</f>
        <v>6</v>
      </c>
      <c r="E34" s="40">
        <f ca="1">IF(A34&lt;&gt;"entfällt",VLOOKUP(5,INDIRECT($C$68),4,0),"")</f>
        <v>3</v>
      </c>
      <c r="F34" s="42">
        <v>2</v>
      </c>
      <c r="G34" s="71" t="str">
        <f>IF(H2&gt;12,"Wert - Abzug","entfällt")</f>
        <v>Wert - Abzug</v>
      </c>
      <c r="H34" s="66"/>
    </row>
    <row r="35" spans="1:8" ht="15" outlineLevel="1" thickBot="1" x14ac:dyDescent="0.4">
      <c r="A35" s="171" t="str">
        <f>IF($H$2&gt;10,"Verbindung Sprung 6","entfällt")</f>
        <v>Verbindung Sprung 6</v>
      </c>
      <c r="B35" s="172"/>
      <c r="C35" s="68" t="str">
        <f ca="1">IF(A35&lt;&gt;"entfällt",VLOOKUP(6,INDIRECT($C$68),2,0),"")</f>
        <v>800°</v>
      </c>
      <c r="D35" s="68">
        <f ca="1">IF(A35&lt;&gt;"entfällt",VLOOKUP(6,INDIRECT($C$68),3,0),"")</f>
        <v>10</v>
      </c>
      <c r="E35" s="68">
        <f ca="1">IF(A35&lt;&gt;"entfällt",VLOOKUP(6,INDIRECT($C$68),4,0),"")</f>
        <v>3</v>
      </c>
      <c r="F35" s="69">
        <v>2</v>
      </c>
      <c r="G35" s="72" t="str">
        <f>IF(H2&gt;12,"Wert - Abzug","entfällt")</f>
        <v>Wert - Abzug</v>
      </c>
      <c r="H35" s="70">
        <f>30-F30-F31-F32-F33-F34-F35</f>
        <v>19</v>
      </c>
    </row>
    <row r="36" spans="1:8" ht="15" thickBot="1" x14ac:dyDescent="0.4">
      <c r="A36" s="173" t="s">
        <v>41</v>
      </c>
      <c r="B36" s="174"/>
      <c r="C36" s="174"/>
      <c r="D36" s="174"/>
      <c r="E36" s="174"/>
      <c r="F36" s="174"/>
      <c r="G36" s="175"/>
      <c r="H36" s="89">
        <f>SUM(H20:H35)</f>
        <v>69.249999999999986</v>
      </c>
    </row>
    <row r="37" spans="1:8" ht="15" outlineLevel="1" thickBot="1" x14ac:dyDescent="0.4">
      <c r="A37" s="181" t="s">
        <v>99</v>
      </c>
      <c r="B37" s="182"/>
      <c r="C37" s="182"/>
      <c r="D37" s="183"/>
      <c r="E37" s="85" t="s">
        <v>27</v>
      </c>
      <c r="F37" s="85" t="s">
        <v>237</v>
      </c>
      <c r="G37" s="86" t="s">
        <v>28</v>
      </c>
      <c r="H37" s="49" t="s">
        <v>234</v>
      </c>
    </row>
    <row r="38" spans="1:8" outlineLevel="1" x14ac:dyDescent="0.35">
      <c r="A38" s="179" t="str">
        <f ca="1">VLOOKUP(1,INDIRECT($C$65),2,0)</f>
        <v>Flugrolle mit Überstrecken mit Anlauf</v>
      </c>
      <c r="B38" s="180"/>
      <c r="C38" s="180"/>
      <c r="D38" s="180"/>
      <c r="E38" s="92">
        <f ca="1">VLOOKUP(1,INDIRECT($C$65),3,0)</f>
        <v>3</v>
      </c>
      <c r="F38" s="79">
        <v>0</v>
      </c>
      <c r="G38" s="80" t="s">
        <v>146</v>
      </c>
      <c r="H38" s="84">
        <f ca="1">IF(E38=" ","",IF(F38="",0,E38-F38))</f>
        <v>3</v>
      </c>
    </row>
    <row r="39" spans="1:8" outlineLevel="1" x14ac:dyDescent="0.35">
      <c r="A39" s="163" t="str">
        <f ca="1">VLOOKUP(2,INDIRECT($C$65),2,0)</f>
        <v>--&gt; Strecksprung, Salto vorwärts gehockt</v>
      </c>
      <c r="B39" s="164"/>
      <c r="C39" s="164"/>
      <c r="D39" s="164"/>
      <c r="E39" s="87">
        <f ca="1">VLOOKUP(2,INDIRECT($C$65),3,0)</f>
        <v>4.5</v>
      </c>
      <c r="F39" s="43">
        <v>1</v>
      </c>
      <c r="G39" s="81" t="s">
        <v>146</v>
      </c>
      <c r="H39" s="84">
        <f t="shared" ref="H39:H49" ca="1" si="1">IF(E39=" ","",IF(F39="",0,E39-F39))</f>
        <v>3.5</v>
      </c>
    </row>
    <row r="40" spans="1:8" outlineLevel="1" x14ac:dyDescent="0.35">
      <c r="A40" s="163" t="str">
        <f ca="1">VLOOKUP(3,INDIRECT($C$65),2,0)</f>
        <v>Vorspreizen, Handstand mit 1/1 Drehung, abrollen</v>
      </c>
      <c r="B40" s="164"/>
      <c r="C40" s="164"/>
      <c r="D40" s="164"/>
      <c r="E40" s="87">
        <f ca="1">VLOOKUP(3,INDIRECT($C$65),3,0)</f>
        <v>3</v>
      </c>
      <c r="F40" s="43">
        <v>0</v>
      </c>
      <c r="G40" s="81" t="s">
        <v>146</v>
      </c>
      <c r="H40" s="84">
        <f t="shared" ca="1" si="1"/>
        <v>3</v>
      </c>
    </row>
    <row r="41" spans="1:8" outlineLevel="1" x14ac:dyDescent="0.35">
      <c r="A41" s="163" t="str">
        <f ca="1">VLOOKUP(4,INDIRECT($C$65),2,0)</f>
        <v>--&gt; Aufstehen mit gestreckten Beinen</v>
      </c>
      <c r="B41" s="164"/>
      <c r="C41" s="164"/>
      <c r="D41" s="164"/>
      <c r="E41" s="87">
        <f ca="1">VLOOKUP(4,INDIRECT($C$65),3,0)</f>
        <v>3</v>
      </c>
      <c r="F41" s="43">
        <v>1.5</v>
      </c>
      <c r="G41" s="81" t="s">
        <v>146</v>
      </c>
      <c r="H41" s="84">
        <f t="shared" ca="1" si="1"/>
        <v>1.5</v>
      </c>
    </row>
    <row r="42" spans="1:8" outlineLevel="1" x14ac:dyDescent="0.35">
      <c r="A42" s="163" t="str">
        <f ca="1">VLOOKUP(5,INDIRECT($C$65),2,0)</f>
        <v>Vorspreizen, Bestellschritt, Strecksprung 3/2 Drehung</v>
      </c>
      <c r="B42" s="164"/>
      <c r="C42" s="164"/>
      <c r="D42" s="164"/>
      <c r="E42" s="87">
        <f ca="1">VLOOKUP(5,INDIRECT($C$65),3,0)</f>
        <v>3</v>
      </c>
      <c r="F42" s="43">
        <v>3</v>
      </c>
      <c r="G42" s="81" t="s">
        <v>146</v>
      </c>
      <c r="H42" s="84">
        <f t="shared" ca="1" si="1"/>
        <v>0</v>
      </c>
    </row>
    <row r="43" spans="1:8" outlineLevel="1" x14ac:dyDescent="0.35">
      <c r="A43" s="163" t="str">
        <f ca="1">VLOOKUP(6,INDIRECT($C$65),2,0)</f>
        <v>Salto rückwärts gehockt</v>
      </c>
      <c r="B43" s="164"/>
      <c r="C43" s="164"/>
      <c r="D43" s="164"/>
      <c r="E43" s="87">
        <f ca="1">VLOOKUP(6,INDIRECT($C$65),3,0)</f>
        <v>3</v>
      </c>
      <c r="F43" s="43">
        <v>3</v>
      </c>
      <c r="G43" s="81" t="s">
        <v>146</v>
      </c>
      <c r="H43" s="84">
        <f t="shared" ca="1" si="1"/>
        <v>0</v>
      </c>
    </row>
    <row r="44" spans="1:8" outlineLevel="1" x14ac:dyDescent="0.35">
      <c r="A44" s="163" t="str">
        <f ca="1">VLOOKUP(7,INDIRECT($C$65),2,0)</f>
        <v>Handstützüberschlag</v>
      </c>
      <c r="B44" s="164"/>
      <c r="C44" s="164"/>
      <c r="D44" s="164"/>
      <c r="E44" s="87">
        <f ca="1">VLOOKUP(7,INDIRECT($C$65),3,0)</f>
        <v>3</v>
      </c>
      <c r="F44" s="43">
        <v>0.5</v>
      </c>
      <c r="G44" s="81" t="s">
        <v>146</v>
      </c>
      <c r="H44" s="84">
        <f t="shared" ca="1" si="1"/>
        <v>2.5</v>
      </c>
    </row>
    <row r="45" spans="1:8" outlineLevel="1" x14ac:dyDescent="0.35">
      <c r="A45" s="163" t="str">
        <f ca="1">VLOOKUP(8,INDIRECT($C$65),2,0)</f>
        <v>--&gt; Ansprung Schrittstellung, Handstand mit zwei Hüpfern</v>
      </c>
      <c r="B45" s="164"/>
      <c r="C45" s="164"/>
      <c r="D45" s="164"/>
      <c r="E45" s="87">
        <f ca="1">VLOOKUP(8,INDIRECT($C$65),3,0)</f>
        <v>3</v>
      </c>
      <c r="F45" s="43">
        <v>1.5</v>
      </c>
      <c r="G45" s="81" t="s">
        <v>146</v>
      </c>
      <c r="H45" s="84">
        <f t="shared" ca="1" si="1"/>
        <v>1.5</v>
      </c>
    </row>
    <row r="46" spans="1:8" outlineLevel="1" x14ac:dyDescent="0.35">
      <c r="A46" s="163" t="str">
        <f ca="1">VLOOKUP(9,INDIRECT($C$65),2,0)</f>
        <v>Abrollen --&gt; Strecksprung 1/2 Drehung</v>
      </c>
      <c r="B46" s="164"/>
      <c r="C46" s="164"/>
      <c r="D46" s="164"/>
      <c r="E46" s="87">
        <f ca="1">VLOOKUP(9,INDIRECT($C$65),3,0)</f>
        <v>1.5</v>
      </c>
      <c r="F46" s="43">
        <v>0</v>
      </c>
      <c r="G46" s="81" t="str">
        <f>IF(H2&gt;16,"","Wert - Abzug")</f>
        <v>Wert - Abzug</v>
      </c>
      <c r="H46" s="84">
        <f t="shared" ca="1" si="1"/>
        <v>1.5</v>
      </c>
    </row>
    <row r="47" spans="1:8" outlineLevel="1" x14ac:dyDescent="0.35">
      <c r="A47" s="163" t="str">
        <f ca="1">VLOOKUP(10,INDIRECT($C$65),2,0)</f>
        <v>Salto vorwärts gebückt mit Anlauf</v>
      </c>
      <c r="B47" s="164"/>
      <c r="C47" s="164"/>
      <c r="D47" s="164"/>
      <c r="E47" s="87">
        <f ca="1">VLOOKUP(10,INDIRECT($C$65),3,0)</f>
        <v>3</v>
      </c>
      <c r="F47" s="43">
        <v>3</v>
      </c>
      <c r="G47" s="81" t="str">
        <f>IF(H2&gt;16,"","Wert - Abzug")</f>
        <v>Wert - Abzug</v>
      </c>
      <c r="H47" s="84">
        <f t="shared" ca="1" si="1"/>
        <v>0</v>
      </c>
    </row>
    <row r="48" spans="1:8" outlineLevel="1" x14ac:dyDescent="0.35">
      <c r="A48" s="163" t="str">
        <f ca="1">VLOOKUP(11,INDIRECT($C$65),2,0)</f>
        <v xml:space="preserve"> </v>
      </c>
      <c r="B48" s="164"/>
      <c r="C48" s="164"/>
      <c r="D48" s="164"/>
      <c r="E48" s="87" t="str">
        <f ca="1">VLOOKUP(11,INDIRECT($C$65),3,0)</f>
        <v xml:space="preserve"> </v>
      </c>
      <c r="F48" s="43"/>
      <c r="G48" s="81" t="str">
        <f>IF(H2&gt;13,"","Wert - Abzug")</f>
        <v/>
      </c>
      <c r="H48" s="84" t="str">
        <f t="shared" ca="1" si="1"/>
        <v/>
      </c>
    </row>
    <row r="49" spans="1:8" ht="15" outlineLevel="1" thickBot="1" x14ac:dyDescent="0.4">
      <c r="A49" s="184" t="str">
        <f ca="1">VLOOKUP(12,INDIRECT($C$65),2,0)</f>
        <v xml:space="preserve"> </v>
      </c>
      <c r="B49" s="185"/>
      <c r="C49" s="185"/>
      <c r="D49" s="185"/>
      <c r="E49" s="93" t="str">
        <f ca="1">VLOOKUP(12,INDIRECT($C$65),3,0)</f>
        <v xml:space="preserve"> </v>
      </c>
      <c r="F49" s="82"/>
      <c r="G49" s="83" t="str">
        <f>IF(OR(H2=9,H2=12,H2=13),"Wert - Abzug","")</f>
        <v/>
      </c>
      <c r="H49" s="84" t="str">
        <f t="shared" ca="1" si="1"/>
        <v/>
      </c>
    </row>
    <row r="50" spans="1:8" ht="15" thickBot="1" x14ac:dyDescent="0.4">
      <c r="A50" s="176" t="s">
        <v>98</v>
      </c>
      <c r="B50" s="177"/>
      <c r="C50" s="177"/>
      <c r="D50" s="177"/>
      <c r="E50" s="177"/>
      <c r="F50" s="177"/>
      <c r="G50" s="178"/>
      <c r="H50" s="44">
        <f ca="1">SUM(H38:H49)</f>
        <v>16.5</v>
      </c>
    </row>
    <row r="51" spans="1:8" ht="16" thickBot="1" x14ac:dyDescent="0.4">
      <c r="A51" s="169" t="s">
        <v>42</v>
      </c>
      <c r="B51" s="170"/>
      <c r="C51" s="170"/>
      <c r="D51" s="170"/>
      <c r="E51" s="170"/>
      <c r="F51" s="170"/>
      <c r="G51" s="170"/>
      <c r="H51" s="94">
        <f ca="1">SUM(H9,H18,H36,H50)</f>
        <v>165.75</v>
      </c>
    </row>
    <row r="52" spans="1:8" s="23" customFormat="1" x14ac:dyDescent="0.35">
      <c r="D52" s="50"/>
      <c r="E52" s="50"/>
      <c r="F52" s="50"/>
      <c r="G52" s="50"/>
    </row>
    <row r="53" spans="1:8" s="23" customFormat="1" hidden="1" x14ac:dyDescent="0.35">
      <c r="C53" s="24"/>
      <c r="D53" s="50"/>
      <c r="E53" s="50"/>
      <c r="F53" s="50"/>
      <c r="G53" s="50"/>
    </row>
    <row r="54" spans="1:8" s="23" customFormat="1" hidden="1" x14ac:dyDescent="0.35">
      <c r="B54" s="23" t="s">
        <v>249</v>
      </c>
      <c r="C54" s="23" t="str">
        <f>IF(H2&lt;13,"beide",F1)</f>
        <v>weiblich</v>
      </c>
      <c r="D54" s="50"/>
      <c r="E54" s="50"/>
      <c r="F54" s="50"/>
      <c r="G54" s="50"/>
    </row>
    <row r="55" spans="1:8" s="23" customFormat="1" hidden="1" x14ac:dyDescent="0.35">
      <c r="B55" s="23" t="s">
        <v>3</v>
      </c>
      <c r="C55" s="23" t="str">
        <f>IF(OR(H2=8,H2=11),H2,IF(H2&lt;11,"9_10",IF(H2&lt;14,"12_13",IF(H2&lt;16,"14_15",IF(H2&lt;18,"16_17",18)))))</f>
        <v>14_15</v>
      </c>
      <c r="D55" s="50"/>
      <c r="E55" s="50"/>
      <c r="F55" s="50"/>
      <c r="G55" s="50"/>
    </row>
    <row r="56" spans="1:8" s="23" customFormat="1" hidden="1" x14ac:dyDescent="0.35">
      <c r="D56" s="50"/>
      <c r="E56" s="50"/>
      <c r="F56" s="50"/>
      <c r="G56" s="50"/>
    </row>
    <row r="57" spans="1:8" s="23" customFormat="1" hidden="1" x14ac:dyDescent="0.35">
      <c r="B57" s="23" t="s">
        <v>251</v>
      </c>
      <c r="C57" s="23" t="str">
        <f>"TBN_"&amp;C54&amp;"_"&amp;C55</f>
        <v>TBN_weiblich_14_15</v>
      </c>
      <c r="D57" s="50"/>
      <c r="E57" s="50"/>
      <c r="F57" s="50"/>
      <c r="G57" s="50"/>
    </row>
    <row r="58" spans="1:8" s="23" customFormat="1" hidden="1" x14ac:dyDescent="0.35">
      <c r="C58" s="23" t="str">
        <f>C57&amp;"[Beschreibung]"</f>
        <v>TBN_weiblich_14_15[Beschreibung]</v>
      </c>
      <c r="D58" s="50"/>
      <c r="E58" s="50"/>
      <c r="F58" s="50"/>
      <c r="G58" s="50"/>
    </row>
    <row r="59" spans="1:8" s="23" customFormat="1" hidden="1" x14ac:dyDescent="0.35">
      <c r="D59" s="50"/>
      <c r="E59" s="50"/>
      <c r="F59" s="50"/>
      <c r="G59" s="50"/>
    </row>
    <row r="60" spans="1:8" s="23" customFormat="1" hidden="1" x14ac:dyDescent="0.35">
      <c r="B60" s="23" t="s">
        <v>147</v>
      </c>
      <c r="C60" s="23" t="str">
        <f>"TN_"&amp;C54&amp;"_"&amp;C55</f>
        <v>TN_weiblich_14_15</v>
      </c>
      <c r="D60" s="50"/>
      <c r="E60" s="50"/>
      <c r="F60" s="50"/>
      <c r="G60" s="50"/>
    </row>
    <row r="61" spans="1:8" s="23" customFormat="1" hidden="1" x14ac:dyDescent="0.35">
      <c r="C61" s="23" t="str">
        <f>C60&amp;"[Beschreibung]"</f>
        <v>TN_weiblich_14_15[Beschreibung]</v>
      </c>
      <c r="D61" s="50"/>
      <c r="E61" s="50"/>
      <c r="F61" s="50"/>
      <c r="G61" s="50"/>
    </row>
    <row r="62" spans="1:8" s="23" customFormat="1" hidden="1" x14ac:dyDescent="0.35">
      <c r="D62" s="50"/>
      <c r="E62" s="50"/>
      <c r="F62" s="50"/>
      <c r="G62" s="50"/>
    </row>
    <row r="63" spans="1:8" s="23" customFormat="1" hidden="1" x14ac:dyDescent="0.35">
      <c r="B63" s="23" t="s">
        <v>17</v>
      </c>
      <c r="C63" s="23" t="str">
        <f>"TV_"&amp;F1&amp;"_"&amp;C55</f>
        <v>TV_weiblich_14_15</v>
      </c>
      <c r="D63" s="50"/>
      <c r="E63" s="50"/>
      <c r="F63" s="50"/>
      <c r="G63" s="50"/>
    </row>
    <row r="64" spans="1:8" s="23" customFormat="1" hidden="1" x14ac:dyDescent="0.35">
      <c r="D64" s="50"/>
      <c r="E64" s="50"/>
      <c r="F64" s="50"/>
      <c r="G64" s="50"/>
    </row>
    <row r="65" spans="2:7" s="23" customFormat="1" hidden="1" x14ac:dyDescent="0.35">
      <c r="B65" s="23" t="s">
        <v>252</v>
      </c>
      <c r="C65" s="23" t="str">
        <f>"BKÜ"&amp;IF(H2=9,"_9",IF(H2&lt;12,"_10_11",IF(H2&lt;14,"_12_13",IF(H2&lt;17,"_14_16","_17"))))</f>
        <v>BKÜ_14_16</v>
      </c>
      <c r="D65" s="50"/>
      <c r="E65" s="50"/>
      <c r="F65" s="50"/>
      <c r="G65" s="50"/>
    </row>
    <row r="66" spans="2:7" s="23" customFormat="1" hidden="1" x14ac:dyDescent="0.35">
      <c r="D66" s="50"/>
      <c r="E66" s="50"/>
      <c r="F66" s="50"/>
      <c r="G66" s="50"/>
    </row>
    <row r="67" spans="2:7" s="23" customFormat="1" hidden="1" x14ac:dyDescent="0.35">
      <c r="B67" s="23" t="s">
        <v>250</v>
      </c>
      <c r="C67" s="23" t="str">
        <f>IF(H2&lt;17,"beide",F1)</f>
        <v>beide</v>
      </c>
      <c r="D67" s="50"/>
      <c r="E67" s="50"/>
      <c r="F67" s="50"/>
      <c r="G67" s="50"/>
    </row>
    <row r="68" spans="2:7" s="23" customFormat="1" hidden="1" x14ac:dyDescent="0.35">
      <c r="B68" s="23" t="s">
        <v>17</v>
      </c>
      <c r="C68" s="23" t="str">
        <f>"TV_"&amp;C67&amp;"_"&amp;C55</f>
        <v>TV_beide_14_15</v>
      </c>
      <c r="D68" s="50"/>
      <c r="E68" s="50"/>
      <c r="F68" s="50"/>
      <c r="G68" s="50"/>
    </row>
    <row r="69" spans="2:7" x14ac:dyDescent="0.35"/>
    <row r="70" spans="2:7" x14ac:dyDescent="0.35"/>
  </sheetData>
  <sheetProtection algorithmName="SHA-512" hashValue="u/H5UDhqvY3kMAo4WpE/sakOyOj0e7EeZPEHdztkshl7//i9LPs/ILuGHY54gJjeOWBWyQ/bfy0LPaZvP3EWyg==" saltValue="qoU99g4Wx3vxRFBW5Zm3/w==" spinCount="100000" sheet="1" objects="1" scenarios="1" selectLockedCells="1"/>
  <protectedRanges>
    <protectedRange sqref="H1:H2 F1:F2 B1:B2" name="Athletendaten"/>
    <protectedRange sqref="F38:F49 C20:F35 D69:E440 C69:C441 F4:F8 C38:E68 C11:E16 F11:F17" name="Werte und Varianten"/>
    <protectedRange algorithmName="SHA-512" hashValue="EtPG7jm6pk6JVG08ToKZL4Sto4PS6TOUsygvFmj6DTfcGnX6DwKdfjTEg/2X1Hwnu/CwfNhBUSnXKs/oLqcupQ==" saltValue="sPse4fdTsI5OFESYvRIl8Q==" spinCount="100000" sqref="H4:H8 H38:H49 H20:H35 H11:H17" name="Punktzahlen"/>
  </protectedRanges>
  <mergeCells count="44">
    <mergeCell ref="A50:G50"/>
    <mergeCell ref="A51:G51"/>
    <mergeCell ref="A44:D44"/>
    <mergeCell ref="A45:D45"/>
    <mergeCell ref="A46:D46"/>
    <mergeCell ref="A47:D47"/>
    <mergeCell ref="A48:D48"/>
    <mergeCell ref="A49:D49"/>
    <mergeCell ref="A43:D43"/>
    <mergeCell ref="A32:B32"/>
    <mergeCell ref="A33:B33"/>
    <mergeCell ref="A34:B34"/>
    <mergeCell ref="A35:B35"/>
    <mergeCell ref="A36:G36"/>
    <mergeCell ref="A37:D37"/>
    <mergeCell ref="A38:D38"/>
    <mergeCell ref="A39:D39"/>
    <mergeCell ref="A40:D40"/>
    <mergeCell ref="A41:D41"/>
    <mergeCell ref="A42:D42"/>
    <mergeCell ref="A31:B31"/>
    <mergeCell ref="A13:E13"/>
    <mergeCell ref="A14:E14"/>
    <mergeCell ref="A15:E15"/>
    <mergeCell ref="A16:E16"/>
    <mergeCell ref="A18:G18"/>
    <mergeCell ref="A19:C19"/>
    <mergeCell ref="A20:B20"/>
    <mergeCell ref="A21:B21"/>
    <mergeCell ref="A22:B22"/>
    <mergeCell ref="A23:B23"/>
    <mergeCell ref="A30:B30"/>
    <mergeCell ref="A12:E12"/>
    <mergeCell ref="B1:E1"/>
    <mergeCell ref="B2:F2"/>
    <mergeCell ref="A3:E3"/>
    <mergeCell ref="A4:E4"/>
    <mergeCell ref="A5:E5"/>
    <mergeCell ref="A6:E6"/>
    <mergeCell ref="A7:E7"/>
    <mergeCell ref="A8:E8"/>
    <mergeCell ref="A9:G9"/>
    <mergeCell ref="A10:E10"/>
    <mergeCell ref="A11:E11"/>
  </mergeCells>
  <conditionalFormatting sqref="F46:F49">
    <cfRule type="expression" dxfId="211" priority="3">
      <formula>$A46=" "</formula>
    </cfRule>
  </conditionalFormatting>
  <conditionalFormatting sqref="B24:B29 C21:E29">
    <cfRule type="expression" dxfId="210" priority="2">
      <formula>$A21="entfällt"</formula>
    </cfRule>
    <cfRule type="expression" dxfId="209" priority="4">
      <formula>$H$2&gt;14</formula>
    </cfRule>
  </conditionalFormatting>
  <conditionalFormatting sqref="B24:B29">
    <cfRule type="expression" dxfId="208" priority="1">
      <formula>AND($A24="TN",$C24&lt;&gt;"")</formula>
    </cfRule>
  </conditionalFormatting>
  <dataValidations count="19">
    <dataValidation type="decimal" errorStyle="warning" allowBlank="1" showInputMessage="1" showErrorMessage="1" error="Eingegebener Abzug überschreitet maximal zulässigen Abzug, Wert bitte überprüfen!" sqref="F21:F35" xr:uid="{62A461F4-A2EF-4E31-A6A4-E54E954B2004}">
      <formula1>0</formula1>
      <formula2>$E21</formula2>
    </dataValidation>
    <dataValidation type="list" allowBlank="1" showInputMessage="1" showErrorMessage="1" sqref="C20" xr:uid="{E8AD6A03-241C-4215-885A-F63E0931E18F}">
      <formula1>"Lichtschranke,Druckmessplatte"</formula1>
    </dataValidation>
    <dataValidation type="whole" allowBlank="1" showInputMessage="1" showErrorMessage="1" errorTitle="Falsche Eingabe" error="Bitte Wert prüfen" sqref="D17" xr:uid="{A9DE287C-DA52-4F63-AA0A-3B1DF88C04C1}">
      <formula1>1</formula1>
      <formula2>13</formula2>
    </dataValidation>
    <dataValidation type="list" allowBlank="1" showInputMessage="1" sqref="C24:C29" xr:uid="{7BE67996-295C-4105-AB6F-4BFF9B1E507F}">
      <formula1>INDIRECT($C$61)</formula1>
    </dataValidation>
    <dataValidation type="list" allowBlank="1" showInputMessage="1" sqref="C21:C23" xr:uid="{17049C6F-F511-4DB3-811E-FF4793E39497}">
      <formula1>INDIRECT($C$58)</formula1>
    </dataValidation>
    <dataValidation allowBlank="1" showInputMessage="1" showErrorMessage="1" prompt="Anzahl der Wiederholungen" sqref="F11" xr:uid="{F537BD6A-0342-4416-807E-0F4F137D02DA}"/>
    <dataValidation type="whole" allowBlank="1" showInputMessage="1" showErrorMessage="1" prompt="Abstand von der Oberkante des Turnhockers zur schlechtesten Fingerspitze in cm" sqref="F6" xr:uid="{7E18A157-44D6-456A-B540-CDE4E7E05523}">
      <formula1>-50</formula1>
      <formula2>50</formula2>
    </dataValidation>
    <dataValidation type="list" allowBlank="1" showInputMessage="1" showErrorMessage="1" prompt="Punktzahl nach Vergleich mit Bild" sqref="F5" xr:uid="{177D3AF0-9D03-484B-AB1F-C1BE58C4D15F}">
      <formula1>"0,2,6,10"</formula1>
    </dataValidation>
    <dataValidation type="whole" allowBlank="1" showErrorMessage="1" errorTitle="Falsche Eingabe" error="Bitte Wert prüfen" prompt="Höchste erreichte Stufe" sqref="F17" xr:uid="{97A883E5-C1D5-4EAE-81AE-AEAC09E53A16}">
      <formula1>1</formula1>
      <formula2>11</formula2>
    </dataValidation>
    <dataValidation allowBlank="1" sqref="D20:E20" xr:uid="{8E134F06-EBD5-4CF2-9D0F-E61EF529F38F}"/>
    <dataValidation type="decimal" errorStyle="warning" allowBlank="1" showInputMessage="1" showErrorMessage="1" error="Abzug höher als Wert des Elements, bitte überprüfen!" prompt="Abzug" sqref="F38:F49" xr:uid="{44E6C68E-4AF8-4B1D-80C7-7AFA10DCA8F2}">
      <formula1>0</formula1>
      <formula2>$E38</formula2>
    </dataValidation>
    <dataValidation type="whole" allowBlank="1" showInputMessage="1" showErrorMessage="1" prompt="AKs 9 - 13: Übersprungene Kästchen_x000a__x000a_AKs 14 - 21: Anzahl Saltos" sqref="F15" xr:uid="{7E904C0D-763B-400B-B9B7-E6260A09EB7C}">
      <formula1>0</formula1>
      <formula2>50</formula2>
    </dataValidation>
    <dataValidation type="list" allowBlank="1" showInputMessage="1" showErrorMessage="1" sqref="F1" xr:uid="{0B3BA91D-5570-494C-AEF2-10AFEE42D773}">
      <formula1>"männlich,weiblich"</formula1>
    </dataValidation>
    <dataValidation type="whole" allowBlank="1" showInputMessage="1" showErrorMessage="1" sqref="H4:H8" xr:uid="{B4A2DE9F-9559-4EB8-A821-4F76C740CF99}">
      <formula1>0</formula1>
      <formula2>10</formula2>
    </dataValidation>
    <dataValidation type="whole" allowBlank="1" showInputMessage="1" showErrorMessage="1" prompt="Haltezeit in Sekunden" sqref="F13" xr:uid="{D72E9EEE-7545-4DB0-A51C-5C24D3E74922}">
      <formula1>0</formula1>
      <formula2>200</formula2>
    </dataValidation>
    <dataValidation type="whole" allowBlank="1" showInputMessage="1" showErrorMessage="1" prompt="Haltezeit in Sekunden" sqref="F16" xr:uid="{71ABBDE0-AE25-4A75-92B3-0ABE543FCE50}">
      <formula1>0</formula1>
      <formula2>100</formula2>
    </dataValidation>
    <dataValidation type="whole" allowBlank="1" showInputMessage="1" showErrorMessage="1" prompt="Anzahl der Wiederholungen" sqref="F14 F12" xr:uid="{69678860-6378-4D42-A110-2FCB032005C6}">
      <formula1>0</formula1>
      <formula2>50</formula2>
    </dataValidation>
    <dataValidation type="list" operator="equal" allowBlank="1" showInputMessage="1" showErrorMessage="1" prompt="Punktzahl nach Vergleich mit Bild" sqref="F4" xr:uid="{8715A12C-0BA5-417F-A99C-3A0DC2B2197D}">
      <formula1>"0,2,6,10"</formula1>
    </dataValidation>
    <dataValidation type="decimal" errorStyle="warning" showDropDown="1" showErrorMessage="1" error="Wert unrealistisch hoch, bitte Eingabe überprüfen" promptTitle="Vorsicht" sqref="F20" xr:uid="{0BDD021D-8098-4088-B0AF-34F63C69DCBA}">
      <formula1>0</formula1>
      <formula2>30</formula2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Bitte Werte aus Dropdown auswählen" prompt="Abstand vom Boden laut Schablone" xr:uid="{0C9C7807-88B9-4631-AA33-16AD0A55C674}">
          <x14:formula1>
            <xm:f>Punktetabellen!$A$3:$A$6</xm:f>
          </x14:formula1>
          <xm:sqref>F7:F8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F0C24-3A1F-467C-9E82-34501B9888B8}">
  <sheetPr codeName="Tabelle15">
    <tabColor indexed="47"/>
    <pageSetUpPr fitToPage="1"/>
  </sheetPr>
  <dimension ref="A1:J70"/>
  <sheetViews>
    <sheetView zoomScale="85" zoomScaleNormal="85" workbookViewId="0">
      <pane ySplit="2" topLeftCell="A34" activePane="bottomLeft" state="frozen"/>
      <selection sqref="A1:H1"/>
      <selection pane="bottomLeft" activeCell="C20" sqref="C20"/>
    </sheetView>
  </sheetViews>
  <sheetFormatPr baseColWidth="10" defaultColWidth="0" defaultRowHeight="14.5" zeroHeight="1" outlineLevelRow="1" x14ac:dyDescent="0.35"/>
  <cols>
    <col min="1" max="1" width="11.453125" customWidth="1"/>
    <col min="2" max="2" width="12.1796875" customWidth="1"/>
    <col min="3" max="3" width="44.81640625" bestFit="1" customWidth="1"/>
    <col min="4" max="5" width="11.453125" style="148" customWidth="1"/>
    <col min="6" max="6" width="16.1796875" style="148" bestFit="1" customWidth="1"/>
    <col min="7" max="7" width="13.81640625" style="148" customWidth="1"/>
    <col min="8" max="8" width="11.453125" customWidth="1"/>
    <col min="9" max="9" width="6.1796875" style="23" hidden="1" customWidth="1"/>
    <col min="10" max="10" width="0" hidden="1" customWidth="1"/>
    <col min="11" max="16384" width="11.453125" hidden="1"/>
  </cols>
  <sheetData>
    <row r="1" spans="1:8" ht="15.5" x14ac:dyDescent="0.35">
      <c r="A1" s="16" t="s">
        <v>1</v>
      </c>
      <c r="B1" s="186" t="s">
        <v>363</v>
      </c>
      <c r="C1" s="187"/>
      <c r="D1" s="187"/>
      <c r="E1" s="188"/>
      <c r="F1" s="51" t="s">
        <v>97</v>
      </c>
      <c r="G1" s="61" t="s">
        <v>24</v>
      </c>
      <c r="H1" s="63">
        <v>2008</v>
      </c>
    </row>
    <row r="2" spans="1:8" ht="16" thickBot="1" x14ac:dyDescent="0.4">
      <c r="A2" s="17" t="s">
        <v>4</v>
      </c>
      <c r="B2" s="198" t="s">
        <v>364</v>
      </c>
      <c r="C2" s="199"/>
      <c r="D2" s="199"/>
      <c r="E2" s="199"/>
      <c r="F2" s="200"/>
      <c r="G2" s="62" t="s">
        <v>3</v>
      </c>
      <c r="H2" s="64">
        <f>2022-H1</f>
        <v>14</v>
      </c>
    </row>
    <row r="3" spans="1:8" ht="15" outlineLevel="1" thickBot="1" x14ac:dyDescent="0.4">
      <c r="A3" s="189" t="s">
        <v>26</v>
      </c>
      <c r="B3" s="190"/>
      <c r="C3" s="190"/>
      <c r="D3" s="190"/>
      <c r="E3" s="191"/>
      <c r="F3" s="46" t="s">
        <v>27</v>
      </c>
      <c r="G3" s="47" t="s">
        <v>28</v>
      </c>
      <c r="H3" s="22" t="s">
        <v>234</v>
      </c>
    </row>
    <row r="4" spans="1:8" outlineLevel="1" x14ac:dyDescent="0.35">
      <c r="A4" s="192" t="s">
        <v>30</v>
      </c>
      <c r="B4" s="193"/>
      <c r="C4" s="193"/>
      <c r="D4" s="193"/>
      <c r="E4" s="194"/>
      <c r="F4" s="25">
        <v>10</v>
      </c>
      <c r="G4" s="55" t="s">
        <v>32</v>
      </c>
      <c r="H4" s="34">
        <f>F4</f>
        <v>10</v>
      </c>
    </row>
    <row r="5" spans="1:8" outlineLevel="1" x14ac:dyDescent="0.35">
      <c r="A5" s="195" t="s">
        <v>85</v>
      </c>
      <c r="B5" s="196"/>
      <c r="C5" s="196"/>
      <c r="D5" s="196"/>
      <c r="E5" s="197"/>
      <c r="F5" s="14">
        <v>10</v>
      </c>
      <c r="G5" s="56" t="s">
        <v>32</v>
      </c>
      <c r="H5" s="35">
        <f>F5</f>
        <v>10</v>
      </c>
    </row>
    <row r="6" spans="1:8" outlineLevel="1" x14ac:dyDescent="0.35">
      <c r="A6" s="195" t="s">
        <v>33</v>
      </c>
      <c r="B6" s="196"/>
      <c r="C6" s="196"/>
      <c r="D6" s="196"/>
      <c r="E6" s="197"/>
      <c r="F6" s="14">
        <v>20</v>
      </c>
      <c r="G6" s="56" t="s">
        <v>31</v>
      </c>
      <c r="H6" s="35">
        <f>IF(F6="",0,VLOOKUP(F6,Punktetabellen!A10:B15,2,1))</f>
        <v>10</v>
      </c>
    </row>
    <row r="7" spans="1:8" outlineLevel="1" x14ac:dyDescent="0.35">
      <c r="A7" s="195" t="s">
        <v>34</v>
      </c>
      <c r="B7" s="196"/>
      <c r="C7" s="196"/>
      <c r="D7" s="196"/>
      <c r="E7" s="197"/>
      <c r="F7" s="14">
        <v>0</v>
      </c>
      <c r="G7" s="56" t="s">
        <v>31</v>
      </c>
      <c r="H7" s="35">
        <f>IF(F7="",0,VLOOKUP(F7,Punktetabellen!A3:B6,2,0))</f>
        <v>5</v>
      </c>
    </row>
    <row r="8" spans="1:8" ht="15" outlineLevel="1" thickBot="1" x14ac:dyDescent="0.4">
      <c r="A8" s="204" t="s">
        <v>35</v>
      </c>
      <c r="B8" s="205"/>
      <c r="C8" s="205"/>
      <c r="D8" s="205"/>
      <c r="E8" s="206"/>
      <c r="F8" s="41">
        <v>0</v>
      </c>
      <c r="G8" s="57" t="s">
        <v>31</v>
      </c>
      <c r="H8" s="36">
        <f>IF(F8="",0,VLOOKUP(F8,Punktetabellen!A3:B6,2,0))</f>
        <v>5</v>
      </c>
    </row>
    <row r="9" spans="1:8" ht="15" thickBot="1" x14ac:dyDescent="0.4">
      <c r="A9" s="210" t="s">
        <v>36</v>
      </c>
      <c r="B9" s="211"/>
      <c r="C9" s="211"/>
      <c r="D9" s="211"/>
      <c r="E9" s="211"/>
      <c r="F9" s="211"/>
      <c r="G9" s="211"/>
      <c r="H9" s="48">
        <f>SUM(H4:H8)</f>
        <v>40</v>
      </c>
    </row>
    <row r="10" spans="1:8" ht="15" outlineLevel="1" thickBot="1" x14ac:dyDescent="0.4">
      <c r="A10" s="189" t="s">
        <v>26</v>
      </c>
      <c r="B10" s="190"/>
      <c r="C10" s="190"/>
      <c r="D10" s="190"/>
      <c r="E10" s="191"/>
      <c r="F10" s="46" t="s">
        <v>27</v>
      </c>
      <c r="G10" s="47" t="s">
        <v>28</v>
      </c>
      <c r="H10" s="22" t="s">
        <v>234</v>
      </c>
    </row>
    <row r="11" spans="1:8" outlineLevel="1" x14ac:dyDescent="0.35">
      <c r="A11" s="207" t="s">
        <v>37</v>
      </c>
      <c r="B11" s="208"/>
      <c r="C11" s="208"/>
      <c r="D11" s="208"/>
      <c r="E11" s="209"/>
      <c r="F11" s="26">
        <v>9</v>
      </c>
      <c r="G11" s="58" t="s">
        <v>31</v>
      </c>
      <c r="H11" s="37">
        <f>IF($F11="",0,VLOOKUP($F11,Pkte_Klimmzug[],$H$2,1))</f>
        <v>8</v>
      </c>
    </row>
    <row r="12" spans="1:8" outlineLevel="1" x14ac:dyDescent="0.35">
      <c r="A12" s="201" t="s">
        <v>38</v>
      </c>
      <c r="B12" s="202"/>
      <c r="C12" s="202"/>
      <c r="D12" s="202"/>
      <c r="E12" s="203"/>
      <c r="F12" s="27">
        <v>4</v>
      </c>
      <c r="G12" s="59" t="s">
        <v>31</v>
      </c>
      <c r="H12" s="38">
        <f>IF($F12="",0,VLOOKUP($F12,Pkte_Beinheben[],$H$2,1))</f>
        <v>4</v>
      </c>
    </row>
    <row r="13" spans="1:8" outlineLevel="1" x14ac:dyDescent="0.35">
      <c r="A13" s="201" t="s">
        <v>88</v>
      </c>
      <c r="B13" s="202"/>
      <c r="C13" s="202"/>
      <c r="D13" s="202"/>
      <c r="E13" s="203"/>
      <c r="F13" s="27">
        <v>96</v>
      </c>
      <c r="G13" s="59" t="s">
        <v>31</v>
      </c>
      <c r="H13" s="38">
        <f>IF($F13="",0,VLOOKUP($F13,Pkte_Flieger[],$H$2,1))</f>
        <v>9</v>
      </c>
    </row>
    <row r="14" spans="1:8" outlineLevel="1" x14ac:dyDescent="0.35">
      <c r="A14" s="201" t="s">
        <v>39</v>
      </c>
      <c r="B14" s="202"/>
      <c r="C14" s="202"/>
      <c r="D14" s="202"/>
      <c r="E14" s="203"/>
      <c r="F14" s="27">
        <v>25</v>
      </c>
      <c r="G14" s="59" t="s">
        <v>31</v>
      </c>
      <c r="H14" s="38">
        <f>IF($F14="",0,VLOOKUP($F14,Pkte_Rollenverbindung[],$H$2,1))</f>
        <v>10</v>
      </c>
    </row>
    <row r="15" spans="1:8" outlineLevel="1" x14ac:dyDescent="0.35">
      <c r="A15" s="201" t="s">
        <v>89</v>
      </c>
      <c r="B15" s="202"/>
      <c r="C15" s="202"/>
      <c r="D15" s="202"/>
      <c r="E15" s="203"/>
      <c r="F15" s="27">
        <v>40</v>
      </c>
      <c r="G15" s="59" t="s">
        <v>31</v>
      </c>
      <c r="H15" s="38">
        <f>IF($F15="",0,VLOOKUP($F15,Pkte_Prellsprung[],$H$2,1))</f>
        <v>10</v>
      </c>
    </row>
    <row r="16" spans="1:8" outlineLevel="1" x14ac:dyDescent="0.35">
      <c r="A16" s="201" t="s">
        <v>90</v>
      </c>
      <c r="B16" s="202"/>
      <c r="C16" s="202"/>
      <c r="D16" s="202"/>
      <c r="E16" s="203"/>
      <c r="F16" s="28">
        <v>30</v>
      </c>
      <c r="G16" s="59" t="s">
        <v>31</v>
      </c>
      <c r="H16" s="38">
        <f>IF($F16="",0,VLOOKUP($F16,Pkte_Handstand[],$H$2,1))</f>
        <v>10</v>
      </c>
    </row>
    <row r="17" spans="1:8" ht="15" outlineLevel="1" thickBot="1" x14ac:dyDescent="0.4">
      <c r="A17" s="112" t="s">
        <v>93</v>
      </c>
      <c r="B17" s="113"/>
      <c r="C17" s="114" t="s">
        <v>269</v>
      </c>
      <c r="D17" s="29">
        <v>8</v>
      </c>
      <c r="E17" s="115" t="s">
        <v>270</v>
      </c>
      <c r="F17" s="29">
        <v>9</v>
      </c>
      <c r="G17" s="60" t="s">
        <v>31</v>
      </c>
      <c r="H17" s="39">
        <f>IF($F17="",0,IF($F$1="weiblich",VLOOKUP((100*$D17+$F17),Pkte_Shuttle_W[],$H$2,1),VLOOKUP((100*$D17+$F17),Pkte_Shuttle_M[],$H$2,1)))</f>
        <v>7</v>
      </c>
    </row>
    <row r="18" spans="1:8" ht="15" thickBot="1" x14ac:dyDescent="0.4">
      <c r="A18" s="161" t="s">
        <v>40</v>
      </c>
      <c r="B18" s="162"/>
      <c r="C18" s="162"/>
      <c r="D18" s="162"/>
      <c r="E18" s="162"/>
      <c r="F18" s="162"/>
      <c r="G18" s="162"/>
      <c r="H18" s="48">
        <f>SUM(H11:H17)</f>
        <v>58</v>
      </c>
    </row>
    <row r="19" spans="1:8" ht="15" outlineLevel="1" thickBot="1" x14ac:dyDescent="0.4">
      <c r="A19" s="159" t="s">
        <v>26</v>
      </c>
      <c r="B19" s="160"/>
      <c r="C19" s="160"/>
      <c r="D19" s="85" t="s">
        <v>235</v>
      </c>
      <c r="E19" s="85" t="s">
        <v>238</v>
      </c>
      <c r="F19" s="85" t="s">
        <v>236</v>
      </c>
      <c r="G19" s="86" t="s">
        <v>28</v>
      </c>
      <c r="H19" s="49" t="s">
        <v>234</v>
      </c>
    </row>
    <row r="20" spans="1:8" outlineLevel="1" x14ac:dyDescent="0.35">
      <c r="A20" s="167" t="s">
        <v>148</v>
      </c>
      <c r="B20" s="168"/>
      <c r="C20" s="116" t="str">
        <f>Infos!A10</f>
        <v>Druckmessplatte</v>
      </c>
      <c r="D20" s="90">
        <f>IF(F1="männlich",VLOOKUP(H2,Standsprünge!A3:C15,3,0),VLOOKUP(H2,Standsprünge!A3:B15,2,0))+IF(C20="Druckmessplatte",0)</f>
        <v>15.6</v>
      </c>
      <c r="E20" s="90"/>
      <c r="F20" s="67">
        <v>15.615</v>
      </c>
      <c r="G20" s="91" t="s">
        <v>149</v>
      </c>
      <c r="H20" s="88">
        <f>IF(F20="",0,(F20-D20)*10)</f>
        <v>0.15000000000000568</v>
      </c>
    </row>
    <row r="21" spans="1:8" outlineLevel="1" x14ac:dyDescent="0.35">
      <c r="A21" s="165" t="str">
        <f>IF(H2&gt;15,"entfällt","TBN")</f>
        <v>TBN</v>
      </c>
      <c r="B21" s="166"/>
      <c r="C21" s="77" t="s">
        <v>350</v>
      </c>
      <c r="D21" s="78">
        <v>11</v>
      </c>
      <c r="E21" s="78">
        <f ca="1">IF(C21="","",VLOOKUP(C21,INDIRECT($C$57),3,0))</f>
        <v>6</v>
      </c>
      <c r="F21" s="42">
        <v>4</v>
      </c>
      <c r="G21" s="71" t="str">
        <f>IF(H2&gt;16,"entfällt","Wert - Abzug")</f>
        <v>Wert - Abzug</v>
      </c>
      <c r="H21" s="66">
        <f>IF(A21="entfällt",0,IF(F21="",0,D21-F21))</f>
        <v>7</v>
      </c>
    </row>
    <row r="22" spans="1:8" outlineLevel="1" x14ac:dyDescent="0.35">
      <c r="A22" s="165" t="str">
        <f>IF(H2&gt;15,"entfällt","TBN")</f>
        <v>TBN</v>
      </c>
      <c r="B22" s="166"/>
      <c r="C22" s="77" t="s">
        <v>351</v>
      </c>
      <c r="D22" s="78">
        <f ca="1">IF(C22="","",VLOOKUP(C22,INDIRECT($C$57),2,0))</f>
        <v>10</v>
      </c>
      <c r="E22" s="78">
        <f ca="1">IF(C22="","",VLOOKUP(C22,INDIRECT($C$57),3,0))</f>
        <v>6</v>
      </c>
      <c r="F22" s="42">
        <v>6</v>
      </c>
      <c r="G22" s="71" t="str">
        <f>IF(H2&gt;16,"entfällt","Wert - Abzug")</f>
        <v>Wert - Abzug</v>
      </c>
      <c r="H22" s="66">
        <f t="shared" ref="H22:H28" ca="1" si="0">IF(A22="entfällt",0,IF(F22="",0,D22-F22))</f>
        <v>4</v>
      </c>
    </row>
    <row r="23" spans="1:8" outlineLevel="1" x14ac:dyDescent="0.35">
      <c r="A23" s="165" t="str">
        <f>IF(H2&gt;11,"entfällt","TBN")</f>
        <v>entfällt</v>
      </c>
      <c r="B23" s="166"/>
      <c r="C23" s="77"/>
      <c r="D23" s="78" t="str">
        <f ca="1">IF(C23="","",VLOOKUP(C23,INDIRECT($C$57),2,0))</f>
        <v/>
      </c>
      <c r="E23" s="78" t="str">
        <f ca="1">IF(C23="","",VLOOKUP(C23,INDIRECT($C$57),3,0))</f>
        <v/>
      </c>
      <c r="F23" s="42"/>
      <c r="G23" s="71" t="str">
        <f>IF(H2&gt;16,"entfällt","Wert - Abzug")</f>
        <v>Wert - Abzug</v>
      </c>
      <c r="H23" s="66">
        <f t="shared" si="0"/>
        <v>0</v>
      </c>
    </row>
    <row r="24" spans="1:8" outlineLevel="1" x14ac:dyDescent="0.35">
      <c r="A24" s="110" t="s">
        <v>147</v>
      </c>
      <c r="B24" s="111"/>
      <c r="C24" s="77"/>
      <c r="D24" s="78"/>
      <c r="E24" s="78"/>
      <c r="F24" s="42"/>
      <c r="G24" s="71" t="s">
        <v>146</v>
      </c>
      <c r="H24" s="66">
        <f t="shared" si="0"/>
        <v>0</v>
      </c>
    </row>
    <row r="25" spans="1:8" outlineLevel="1" x14ac:dyDescent="0.35">
      <c r="A25" s="110" t="s">
        <v>147</v>
      </c>
      <c r="B25" s="111"/>
      <c r="C25" s="77"/>
      <c r="D25" s="78"/>
      <c r="E25" s="78"/>
      <c r="F25" s="42"/>
      <c r="G25" s="71" t="s">
        <v>146</v>
      </c>
      <c r="H25" s="66">
        <f t="shared" si="0"/>
        <v>0</v>
      </c>
    </row>
    <row r="26" spans="1:8" outlineLevel="1" x14ac:dyDescent="0.35">
      <c r="A26" s="110" t="s">
        <v>147</v>
      </c>
      <c r="B26" s="111"/>
      <c r="C26" s="77"/>
      <c r="D26" s="78"/>
      <c r="E26" s="78"/>
      <c r="F26" s="42"/>
      <c r="G26" s="71" t="s">
        <v>146</v>
      </c>
      <c r="H26" s="66">
        <f t="shared" si="0"/>
        <v>0</v>
      </c>
    </row>
    <row r="27" spans="1:8" outlineLevel="1" x14ac:dyDescent="0.35">
      <c r="A27" s="110" t="str">
        <f>IF(H2&gt;11,"TN","entfällt")</f>
        <v>TN</v>
      </c>
      <c r="B27" s="111"/>
      <c r="C27" s="77"/>
      <c r="D27" s="78"/>
      <c r="E27" s="78"/>
      <c r="F27" s="42"/>
      <c r="G27" s="71" t="str">
        <f>IF(H2&gt;12,"Wert - Abzug","entfällt")</f>
        <v>Wert - Abzug</v>
      </c>
      <c r="H27" s="66">
        <f t="shared" si="0"/>
        <v>0</v>
      </c>
    </row>
    <row r="28" spans="1:8" outlineLevel="1" x14ac:dyDescent="0.35">
      <c r="A28" s="110" t="str">
        <f>IF(H2&gt;15,"TN","entfällt")</f>
        <v>entfällt</v>
      </c>
      <c r="B28" s="111"/>
      <c r="C28" s="77"/>
      <c r="D28" s="78"/>
      <c r="E28" s="78"/>
      <c r="F28" s="42"/>
      <c r="G28" s="71" t="str">
        <f>IF(H2&gt;16,"Wert - Abzug","entfällt")</f>
        <v>entfällt</v>
      </c>
      <c r="H28" s="66">
        <f t="shared" si="0"/>
        <v>0</v>
      </c>
    </row>
    <row r="29" spans="1:8" outlineLevel="1" x14ac:dyDescent="0.35">
      <c r="A29" s="110" t="str">
        <f>IF(H2&gt;15,"TN","entfällt")</f>
        <v>entfällt</v>
      </c>
      <c r="B29" s="111"/>
      <c r="C29" s="77"/>
      <c r="D29" s="78"/>
      <c r="E29" s="78"/>
      <c r="F29" s="42"/>
      <c r="G29" s="71" t="str">
        <f>IF(H2&gt;16,"Wert - Abzug","entfällt")</f>
        <v>entfällt</v>
      </c>
      <c r="H29" s="66">
        <f>IF(A29="entfällt",0,IF(F29="",0,D29-F29))</f>
        <v>0</v>
      </c>
    </row>
    <row r="30" spans="1:8" outlineLevel="1" x14ac:dyDescent="0.35">
      <c r="A30" s="165" t="str">
        <f>IF($H$2&gt;10,"Verbindung Sprung 1","entfällt")</f>
        <v>Verbindung Sprung 1</v>
      </c>
      <c r="B30" s="166"/>
      <c r="C30" s="40" t="str">
        <f ca="1">IF(A30&lt;&gt;"entfällt",VLOOKUP(1,INDIRECT($C$68),2,0),"")</f>
        <v>801&lt;</v>
      </c>
      <c r="D30" s="40">
        <f ca="1">IF(A30&lt;&gt;"entfällt",VLOOKUP(1,INDIRECT($C$68),3,0),"")</f>
        <v>13</v>
      </c>
      <c r="E30" s="40">
        <f ca="1">IF(A30&lt;&gt;"entfällt",VLOOKUP(1,INDIRECT($C$68),4,0),"")</f>
        <v>3</v>
      </c>
      <c r="F30" s="42">
        <v>3</v>
      </c>
      <c r="G30" s="71" t="str">
        <f>IF(H2&gt;12,"Wert - Abzug","entfällt")</f>
        <v>Wert - Abzug</v>
      </c>
      <c r="H30" s="66"/>
    </row>
    <row r="31" spans="1:8" outlineLevel="1" x14ac:dyDescent="0.35">
      <c r="A31" s="165" t="str">
        <f>IF($H$2&gt;10,"Verbindung Sprung 2","entfällt")</f>
        <v>Verbindung Sprung 2</v>
      </c>
      <c r="B31" s="166"/>
      <c r="C31" s="40" t="str">
        <f ca="1">IF(A31&lt;&gt;"entfällt",VLOOKUP(2,INDIRECT($C$68),2,0),"")</f>
        <v>40&lt;</v>
      </c>
      <c r="D31" s="40">
        <f ca="1">IF(A31&lt;&gt;"entfällt",VLOOKUP(2,INDIRECT($C$68),3,0),"")</f>
        <v>6</v>
      </c>
      <c r="E31" s="40">
        <f ca="1">IF(A31&lt;&gt;"entfällt",VLOOKUP(2,INDIRECT($C$68),4,0),"")</f>
        <v>3</v>
      </c>
      <c r="F31" s="42">
        <v>2</v>
      </c>
      <c r="G31" s="71" t="str">
        <f>IF(H2&gt;12,"Wert - Abzug","entfällt")</f>
        <v>Wert - Abzug</v>
      </c>
      <c r="H31" s="66"/>
    </row>
    <row r="32" spans="1:8" outlineLevel="1" x14ac:dyDescent="0.35">
      <c r="A32" s="165" t="str">
        <f>IF($H$2&gt;10,"Verbindung Sprung 3","entfällt")</f>
        <v>Verbindung Sprung 3</v>
      </c>
      <c r="B32" s="166"/>
      <c r="C32" s="40" t="str">
        <f ca="1">IF(A32&lt;&gt;"entfällt",VLOOKUP(3,INDIRECT($C$68),2,0),"")</f>
        <v>801°</v>
      </c>
      <c r="D32" s="40">
        <f ca="1">IF(A32&lt;&gt;"entfällt",VLOOKUP(3,INDIRECT($C$68),3,0),"")</f>
        <v>11</v>
      </c>
      <c r="E32" s="40">
        <f ca="1">IF(A32&lt;&gt;"entfällt",VLOOKUP(3,INDIRECT($C$68),4,0),"")</f>
        <v>3</v>
      </c>
      <c r="F32" s="42">
        <v>2</v>
      </c>
      <c r="G32" s="71" t="str">
        <f>IF(H2&gt;12,"Wert - Abzug","entfällt")</f>
        <v>Wert - Abzug</v>
      </c>
      <c r="H32" s="66"/>
    </row>
    <row r="33" spans="1:8" outlineLevel="1" x14ac:dyDescent="0.35">
      <c r="A33" s="165" t="str">
        <f>IF($H$2&gt;10,"Verbindung Sprung 4","entfällt")</f>
        <v>Verbindung Sprung 4</v>
      </c>
      <c r="B33" s="166"/>
      <c r="C33" s="40" t="str">
        <f ca="1">IF(A33&lt;&gt;"entfällt",VLOOKUP(4,INDIRECT($C$68),2,0),"")</f>
        <v>40/</v>
      </c>
      <c r="D33" s="40">
        <f ca="1">IF(A33&lt;&gt;"entfällt",VLOOKUP(4,INDIRECT($C$68),3,0),"")</f>
        <v>6</v>
      </c>
      <c r="E33" s="40">
        <f ca="1">IF(A33&lt;&gt;"entfällt",VLOOKUP(4,INDIRECT($C$68),4,0),"")</f>
        <v>3</v>
      </c>
      <c r="F33" s="42">
        <v>3</v>
      </c>
      <c r="G33" s="71" t="str">
        <f>IF(H2&gt;12,"Wert - Abzug","entfällt")</f>
        <v>Wert - Abzug</v>
      </c>
      <c r="H33" s="66"/>
    </row>
    <row r="34" spans="1:8" outlineLevel="1" x14ac:dyDescent="0.35">
      <c r="A34" s="165" t="str">
        <f>IF($H$2&gt;10,"Verbindung Sprung 5","entfällt")</f>
        <v>Verbindung Sprung 5</v>
      </c>
      <c r="B34" s="166"/>
      <c r="C34" s="40" t="str">
        <f ca="1">IF(A34&lt;&gt;"entfällt",VLOOKUP(5,INDIRECT($C$68),2,0),"")</f>
        <v>41/</v>
      </c>
      <c r="D34" s="40">
        <f ca="1">IF(A34&lt;&gt;"entfällt",VLOOKUP(5,INDIRECT($C$68),3,0),"")</f>
        <v>6</v>
      </c>
      <c r="E34" s="40">
        <f ca="1">IF(A34&lt;&gt;"entfällt",VLOOKUP(5,INDIRECT($C$68),4,0),"")</f>
        <v>3</v>
      </c>
      <c r="F34" s="42">
        <v>3</v>
      </c>
      <c r="G34" s="71" t="str">
        <f>IF(H2&gt;12,"Wert - Abzug","entfällt")</f>
        <v>Wert - Abzug</v>
      </c>
      <c r="H34" s="66"/>
    </row>
    <row r="35" spans="1:8" ht="15" outlineLevel="1" thickBot="1" x14ac:dyDescent="0.4">
      <c r="A35" s="171" t="str">
        <f>IF($H$2&gt;10,"Verbindung Sprung 6","entfällt")</f>
        <v>Verbindung Sprung 6</v>
      </c>
      <c r="B35" s="172"/>
      <c r="C35" s="68" t="str">
        <f ca="1">IF(A35&lt;&gt;"entfällt",VLOOKUP(6,INDIRECT($C$68),2,0),"")</f>
        <v>800°</v>
      </c>
      <c r="D35" s="68">
        <f ca="1">IF(A35&lt;&gt;"entfällt",VLOOKUP(6,INDIRECT($C$68),3,0),"")</f>
        <v>10</v>
      </c>
      <c r="E35" s="68">
        <f ca="1">IF(A35&lt;&gt;"entfällt",VLOOKUP(6,INDIRECT($C$68),4,0),"")</f>
        <v>3</v>
      </c>
      <c r="F35" s="69">
        <v>2</v>
      </c>
      <c r="G35" s="72" t="str">
        <f>IF(H2&gt;12,"Wert - Abzug","entfällt")</f>
        <v>Wert - Abzug</v>
      </c>
      <c r="H35" s="70">
        <f>30-F30-F31-F32-F33-F34-F35</f>
        <v>15</v>
      </c>
    </row>
    <row r="36" spans="1:8" ht="15" thickBot="1" x14ac:dyDescent="0.4">
      <c r="A36" s="173" t="s">
        <v>41</v>
      </c>
      <c r="B36" s="174"/>
      <c r="C36" s="174"/>
      <c r="D36" s="174"/>
      <c r="E36" s="174"/>
      <c r="F36" s="174"/>
      <c r="G36" s="175"/>
      <c r="H36" s="89">
        <f ca="1">SUM(H20:H35)</f>
        <v>26.150000000000006</v>
      </c>
    </row>
    <row r="37" spans="1:8" ht="15" outlineLevel="1" thickBot="1" x14ac:dyDescent="0.4">
      <c r="A37" s="181" t="s">
        <v>99</v>
      </c>
      <c r="B37" s="182"/>
      <c r="C37" s="182"/>
      <c r="D37" s="183"/>
      <c r="E37" s="85" t="s">
        <v>27</v>
      </c>
      <c r="F37" s="85" t="s">
        <v>237</v>
      </c>
      <c r="G37" s="86" t="s">
        <v>28</v>
      </c>
      <c r="H37" s="49" t="s">
        <v>234</v>
      </c>
    </row>
    <row r="38" spans="1:8" outlineLevel="1" x14ac:dyDescent="0.35">
      <c r="A38" s="179" t="str">
        <f ca="1">VLOOKUP(1,INDIRECT($C$65),2,0)</f>
        <v>Flugrolle mit Überstrecken mit Anlauf</v>
      </c>
      <c r="B38" s="180"/>
      <c r="C38" s="180"/>
      <c r="D38" s="180"/>
      <c r="E38" s="92">
        <f ca="1">VLOOKUP(1,INDIRECT($C$65),3,0)</f>
        <v>3</v>
      </c>
      <c r="F38" s="79">
        <v>1.5</v>
      </c>
      <c r="G38" s="80" t="s">
        <v>146</v>
      </c>
      <c r="H38" s="84">
        <f ca="1">IF(E38=" ","",IF(F38="",0,E38-F38))</f>
        <v>1.5</v>
      </c>
    </row>
    <row r="39" spans="1:8" outlineLevel="1" x14ac:dyDescent="0.35">
      <c r="A39" s="163" t="str">
        <f ca="1">VLOOKUP(2,INDIRECT($C$65),2,0)</f>
        <v>--&gt; Strecksprung, Salto vorwärts gehockt</v>
      </c>
      <c r="B39" s="164"/>
      <c r="C39" s="164"/>
      <c r="D39" s="164"/>
      <c r="E39" s="87">
        <f ca="1">VLOOKUP(2,INDIRECT($C$65),3,0)</f>
        <v>4.5</v>
      </c>
      <c r="F39" s="43">
        <v>0</v>
      </c>
      <c r="G39" s="81" t="s">
        <v>146</v>
      </c>
      <c r="H39" s="84">
        <f t="shared" ref="H39:H49" ca="1" si="1">IF(E39=" ","",IF(F39="",0,E39-F39))</f>
        <v>4.5</v>
      </c>
    </row>
    <row r="40" spans="1:8" outlineLevel="1" x14ac:dyDescent="0.35">
      <c r="A40" s="163" t="str">
        <f ca="1">VLOOKUP(3,INDIRECT($C$65),2,0)</f>
        <v>Vorspreizen, Handstand mit 1/1 Drehung, abrollen</v>
      </c>
      <c r="B40" s="164"/>
      <c r="C40" s="164"/>
      <c r="D40" s="164"/>
      <c r="E40" s="87">
        <f ca="1">VLOOKUP(3,INDIRECT($C$65),3,0)</f>
        <v>3</v>
      </c>
      <c r="F40" s="43">
        <v>0</v>
      </c>
      <c r="G40" s="81" t="s">
        <v>146</v>
      </c>
      <c r="H40" s="84">
        <f t="shared" ca="1" si="1"/>
        <v>3</v>
      </c>
    </row>
    <row r="41" spans="1:8" outlineLevel="1" x14ac:dyDescent="0.35">
      <c r="A41" s="163" t="str">
        <f ca="1">VLOOKUP(4,INDIRECT($C$65),2,0)</f>
        <v>--&gt; Aufstehen mit gestreckten Beinen</v>
      </c>
      <c r="B41" s="164"/>
      <c r="C41" s="164"/>
      <c r="D41" s="164"/>
      <c r="E41" s="87">
        <f ca="1">VLOOKUP(4,INDIRECT($C$65),3,0)</f>
        <v>3</v>
      </c>
      <c r="F41" s="43">
        <v>0</v>
      </c>
      <c r="G41" s="81" t="s">
        <v>146</v>
      </c>
      <c r="H41" s="84">
        <f t="shared" ca="1" si="1"/>
        <v>3</v>
      </c>
    </row>
    <row r="42" spans="1:8" outlineLevel="1" x14ac:dyDescent="0.35">
      <c r="A42" s="163" t="str">
        <f ca="1">VLOOKUP(5,INDIRECT($C$65),2,0)</f>
        <v>Vorspreizen, Bestellschritt, Strecksprung 3/2 Drehung</v>
      </c>
      <c r="B42" s="164"/>
      <c r="C42" s="164"/>
      <c r="D42" s="164"/>
      <c r="E42" s="87">
        <f ca="1">VLOOKUP(5,INDIRECT($C$65),3,0)</f>
        <v>3</v>
      </c>
      <c r="F42" s="43">
        <v>0.5</v>
      </c>
      <c r="G42" s="81" t="s">
        <v>146</v>
      </c>
      <c r="H42" s="84">
        <f t="shared" ca="1" si="1"/>
        <v>2.5</v>
      </c>
    </row>
    <row r="43" spans="1:8" outlineLevel="1" x14ac:dyDescent="0.35">
      <c r="A43" s="163" t="str">
        <f ca="1">VLOOKUP(6,INDIRECT($C$65),2,0)</f>
        <v>Salto rückwärts gehockt</v>
      </c>
      <c r="B43" s="164"/>
      <c r="C43" s="164"/>
      <c r="D43" s="164"/>
      <c r="E43" s="87">
        <f ca="1">VLOOKUP(6,INDIRECT($C$65),3,0)</f>
        <v>3</v>
      </c>
      <c r="F43" s="43">
        <v>0</v>
      </c>
      <c r="G43" s="81" t="s">
        <v>146</v>
      </c>
      <c r="H43" s="84">
        <f t="shared" ca="1" si="1"/>
        <v>3</v>
      </c>
    </row>
    <row r="44" spans="1:8" outlineLevel="1" x14ac:dyDescent="0.35">
      <c r="A44" s="163" t="str">
        <f ca="1">VLOOKUP(7,INDIRECT($C$65),2,0)</f>
        <v>Handstützüberschlag</v>
      </c>
      <c r="B44" s="164"/>
      <c r="C44" s="164"/>
      <c r="D44" s="164"/>
      <c r="E44" s="87">
        <f ca="1">VLOOKUP(7,INDIRECT($C$65),3,0)</f>
        <v>3</v>
      </c>
      <c r="F44" s="43">
        <v>1.5</v>
      </c>
      <c r="G44" s="81" t="s">
        <v>146</v>
      </c>
      <c r="H44" s="84">
        <f t="shared" ca="1" si="1"/>
        <v>1.5</v>
      </c>
    </row>
    <row r="45" spans="1:8" outlineLevel="1" x14ac:dyDescent="0.35">
      <c r="A45" s="163" t="str">
        <f ca="1">VLOOKUP(8,INDIRECT($C$65),2,0)</f>
        <v>--&gt; Ansprung Schrittstellung, Handstand mit zwei Hüpfern</v>
      </c>
      <c r="B45" s="164"/>
      <c r="C45" s="164"/>
      <c r="D45" s="164"/>
      <c r="E45" s="87">
        <f ca="1">VLOOKUP(8,INDIRECT($C$65),3,0)</f>
        <v>3</v>
      </c>
      <c r="F45" s="43">
        <v>0.5</v>
      </c>
      <c r="G45" s="81" t="s">
        <v>146</v>
      </c>
      <c r="H45" s="84">
        <f t="shared" ca="1" si="1"/>
        <v>2.5</v>
      </c>
    </row>
    <row r="46" spans="1:8" outlineLevel="1" x14ac:dyDescent="0.35">
      <c r="A46" s="163" t="str">
        <f ca="1">VLOOKUP(9,INDIRECT($C$65),2,0)</f>
        <v>Abrollen --&gt; Strecksprung 1/2 Drehung</v>
      </c>
      <c r="B46" s="164"/>
      <c r="C46" s="164"/>
      <c r="D46" s="164"/>
      <c r="E46" s="87">
        <f ca="1">VLOOKUP(9,INDIRECT($C$65),3,0)</f>
        <v>1.5</v>
      </c>
      <c r="F46" s="43">
        <v>0</v>
      </c>
      <c r="G46" s="81" t="str">
        <f>IF(H2&gt;16,"","Wert - Abzug")</f>
        <v>Wert - Abzug</v>
      </c>
      <c r="H46" s="84">
        <f t="shared" ca="1" si="1"/>
        <v>1.5</v>
      </c>
    </row>
    <row r="47" spans="1:8" outlineLevel="1" x14ac:dyDescent="0.35">
      <c r="A47" s="163" t="str">
        <f ca="1">VLOOKUP(10,INDIRECT($C$65),2,0)</f>
        <v>Salto vorwärts gebückt mit Anlauf</v>
      </c>
      <c r="B47" s="164"/>
      <c r="C47" s="164"/>
      <c r="D47" s="164"/>
      <c r="E47" s="87">
        <f ca="1">VLOOKUP(10,INDIRECT($C$65),3,0)</f>
        <v>3</v>
      </c>
      <c r="F47" s="43">
        <v>1</v>
      </c>
      <c r="G47" s="81" t="str">
        <f>IF(H2&gt;16,"","Wert - Abzug")</f>
        <v>Wert - Abzug</v>
      </c>
      <c r="H47" s="84">
        <f t="shared" ca="1" si="1"/>
        <v>2</v>
      </c>
    </row>
    <row r="48" spans="1:8" outlineLevel="1" x14ac:dyDescent="0.35">
      <c r="A48" s="163" t="str">
        <f ca="1">VLOOKUP(11,INDIRECT($C$65),2,0)</f>
        <v xml:space="preserve"> </v>
      </c>
      <c r="B48" s="164"/>
      <c r="C48" s="164"/>
      <c r="D48" s="164"/>
      <c r="E48" s="87" t="str">
        <f ca="1">VLOOKUP(11,INDIRECT($C$65),3,0)</f>
        <v xml:space="preserve"> </v>
      </c>
      <c r="F48" s="43"/>
      <c r="G48" s="81" t="str">
        <f>IF(H2&gt;13,"","Wert - Abzug")</f>
        <v/>
      </c>
      <c r="H48" s="84" t="str">
        <f t="shared" ca="1" si="1"/>
        <v/>
      </c>
    </row>
    <row r="49" spans="1:8" ht="15" outlineLevel="1" thickBot="1" x14ac:dyDescent="0.4">
      <c r="A49" s="184" t="str">
        <f ca="1">VLOOKUP(12,INDIRECT($C$65),2,0)</f>
        <v xml:space="preserve"> </v>
      </c>
      <c r="B49" s="185"/>
      <c r="C49" s="185"/>
      <c r="D49" s="185"/>
      <c r="E49" s="93" t="str">
        <f ca="1">VLOOKUP(12,INDIRECT($C$65),3,0)</f>
        <v xml:space="preserve"> </v>
      </c>
      <c r="F49" s="82"/>
      <c r="G49" s="83" t="str">
        <f>IF(OR(H2=9,H2=12,H2=13),"Wert - Abzug","")</f>
        <v/>
      </c>
      <c r="H49" s="84" t="str">
        <f t="shared" ca="1" si="1"/>
        <v/>
      </c>
    </row>
    <row r="50" spans="1:8" ht="15" thickBot="1" x14ac:dyDescent="0.4">
      <c r="A50" s="176" t="s">
        <v>98</v>
      </c>
      <c r="B50" s="177"/>
      <c r="C50" s="177"/>
      <c r="D50" s="177"/>
      <c r="E50" s="177"/>
      <c r="F50" s="177"/>
      <c r="G50" s="178"/>
      <c r="H50" s="44">
        <f ca="1">SUM(H38:H49)</f>
        <v>25</v>
      </c>
    </row>
    <row r="51" spans="1:8" ht="16" thickBot="1" x14ac:dyDescent="0.4">
      <c r="A51" s="169" t="s">
        <v>42</v>
      </c>
      <c r="B51" s="170"/>
      <c r="C51" s="170"/>
      <c r="D51" s="170"/>
      <c r="E51" s="170"/>
      <c r="F51" s="170"/>
      <c r="G51" s="170"/>
      <c r="H51" s="94">
        <f ca="1">SUM(H9,H18,H36,H50)</f>
        <v>149.15</v>
      </c>
    </row>
    <row r="52" spans="1:8" s="23" customFormat="1" x14ac:dyDescent="0.35">
      <c r="D52" s="50"/>
      <c r="E52" s="50"/>
      <c r="F52" s="50"/>
      <c r="G52" s="50"/>
    </row>
    <row r="53" spans="1:8" s="23" customFormat="1" hidden="1" x14ac:dyDescent="0.35">
      <c r="C53" s="24"/>
      <c r="D53" s="50"/>
      <c r="E53" s="50"/>
      <c r="F53" s="50"/>
      <c r="G53" s="50"/>
    </row>
    <row r="54" spans="1:8" s="23" customFormat="1" hidden="1" x14ac:dyDescent="0.35">
      <c r="B54" s="23" t="s">
        <v>249</v>
      </c>
      <c r="C54" s="23" t="str">
        <f>IF(H2&lt;13,"beide",F1)</f>
        <v>weiblich</v>
      </c>
      <c r="D54" s="50"/>
      <c r="E54" s="50"/>
      <c r="F54" s="50"/>
      <c r="G54" s="50"/>
    </row>
    <row r="55" spans="1:8" s="23" customFormat="1" hidden="1" x14ac:dyDescent="0.35">
      <c r="B55" s="23" t="s">
        <v>3</v>
      </c>
      <c r="C55" s="23" t="str">
        <f>IF(OR(H2=8,H2=11),H2,IF(H2&lt;11,"9_10",IF(H2&lt;14,"12_13",IF(H2&lt;16,"14_15",IF(H2&lt;18,"16_17",18)))))</f>
        <v>14_15</v>
      </c>
      <c r="D55" s="50"/>
      <c r="E55" s="50"/>
      <c r="F55" s="50"/>
      <c r="G55" s="50"/>
    </row>
    <row r="56" spans="1:8" s="23" customFormat="1" hidden="1" x14ac:dyDescent="0.35">
      <c r="D56" s="50"/>
      <c r="E56" s="50"/>
      <c r="F56" s="50"/>
      <c r="G56" s="50"/>
    </row>
    <row r="57" spans="1:8" s="23" customFormat="1" hidden="1" x14ac:dyDescent="0.35">
      <c r="B57" s="23" t="s">
        <v>251</v>
      </c>
      <c r="C57" s="23" t="str">
        <f>"TBN_"&amp;C54&amp;"_"&amp;C55</f>
        <v>TBN_weiblich_14_15</v>
      </c>
      <c r="D57" s="50"/>
      <c r="E57" s="50"/>
      <c r="F57" s="50"/>
      <c r="G57" s="50"/>
    </row>
    <row r="58" spans="1:8" s="23" customFormat="1" hidden="1" x14ac:dyDescent="0.35">
      <c r="C58" s="23" t="str">
        <f>C57&amp;"[Beschreibung]"</f>
        <v>TBN_weiblich_14_15[Beschreibung]</v>
      </c>
      <c r="D58" s="50"/>
      <c r="E58" s="50"/>
      <c r="F58" s="50"/>
      <c r="G58" s="50"/>
    </row>
    <row r="59" spans="1:8" s="23" customFormat="1" hidden="1" x14ac:dyDescent="0.35">
      <c r="D59" s="50"/>
      <c r="E59" s="50"/>
      <c r="F59" s="50"/>
      <c r="G59" s="50"/>
    </row>
    <row r="60" spans="1:8" s="23" customFormat="1" hidden="1" x14ac:dyDescent="0.35">
      <c r="B60" s="23" t="s">
        <v>147</v>
      </c>
      <c r="C60" s="23" t="str">
        <f>"TN_"&amp;C54&amp;"_"&amp;C55</f>
        <v>TN_weiblich_14_15</v>
      </c>
      <c r="D60" s="50"/>
      <c r="E60" s="50"/>
      <c r="F60" s="50"/>
      <c r="G60" s="50"/>
    </row>
    <row r="61" spans="1:8" s="23" customFormat="1" hidden="1" x14ac:dyDescent="0.35">
      <c r="C61" s="23" t="str">
        <f>C60&amp;"[Beschreibung]"</f>
        <v>TN_weiblich_14_15[Beschreibung]</v>
      </c>
      <c r="D61" s="50"/>
      <c r="E61" s="50"/>
      <c r="F61" s="50"/>
      <c r="G61" s="50"/>
    </row>
    <row r="62" spans="1:8" s="23" customFormat="1" hidden="1" x14ac:dyDescent="0.35">
      <c r="D62" s="50"/>
      <c r="E62" s="50"/>
      <c r="F62" s="50"/>
      <c r="G62" s="50"/>
    </row>
    <row r="63" spans="1:8" s="23" customFormat="1" hidden="1" x14ac:dyDescent="0.35">
      <c r="B63" s="23" t="s">
        <v>17</v>
      </c>
      <c r="C63" s="23" t="str">
        <f>"TV_"&amp;F1&amp;"_"&amp;C55</f>
        <v>TV_weiblich_14_15</v>
      </c>
      <c r="D63" s="50"/>
      <c r="E63" s="50"/>
      <c r="F63" s="50"/>
      <c r="G63" s="50"/>
    </row>
    <row r="64" spans="1:8" s="23" customFormat="1" hidden="1" x14ac:dyDescent="0.35">
      <c r="D64" s="50"/>
      <c r="E64" s="50"/>
      <c r="F64" s="50"/>
      <c r="G64" s="50"/>
    </row>
    <row r="65" spans="2:7" s="23" customFormat="1" hidden="1" x14ac:dyDescent="0.35">
      <c r="B65" s="23" t="s">
        <v>252</v>
      </c>
      <c r="C65" s="23" t="str">
        <f>"BKÜ"&amp;IF(H2=9,"_9",IF(H2&lt;12,"_10_11",IF(H2&lt;14,"_12_13",IF(H2&lt;17,"_14_16","_17"))))</f>
        <v>BKÜ_14_16</v>
      </c>
      <c r="D65" s="50"/>
      <c r="E65" s="50"/>
      <c r="F65" s="50"/>
      <c r="G65" s="50"/>
    </row>
    <row r="66" spans="2:7" s="23" customFormat="1" hidden="1" x14ac:dyDescent="0.35">
      <c r="D66" s="50"/>
      <c r="E66" s="50"/>
      <c r="F66" s="50"/>
      <c r="G66" s="50"/>
    </row>
    <row r="67" spans="2:7" s="23" customFormat="1" hidden="1" x14ac:dyDescent="0.35">
      <c r="B67" s="23" t="s">
        <v>250</v>
      </c>
      <c r="C67" s="23" t="str">
        <f>IF(H2&lt;17,"beide",F1)</f>
        <v>beide</v>
      </c>
      <c r="D67" s="50"/>
      <c r="E67" s="50"/>
      <c r="F67" s="50"/>
      <c r="G67" s="50"/>
    </row>
    <row r="68" spans="2:7" s="23" customFormat="1" hidden="1" x14ac:dyDescent="0.35">
      <c r="B68" s="23" t="s">
        <v>17</v>
      </c>
      <c r="C68" s="23" t="str">
        <f>"TV_"&amp;C67&amp;"_"&amp;C55</f>
        <v>TV_beide_14_15</v>
      </c>
      <c r="D68" s="50"/>
      <c r="E68" s="50"/>
      <c r="F68" s="50"/>
      <c r="G68" s="50"/>
    </row>
    <row r="69" spans="2:7" x14ac:dyDescent="0.35"/>
    <row r="70" spans="2:7" x14ac:dyDescent="0.35"/>
  </sheetData>
  <sheetProtection algorithmName="SHA-512" hashValue="V3LfkSQ1LnO5VnTo5Hs9b6BLbrrOYsP4b0NxMj0/6PBN2Brmuh6jx4G23IFCWvzG4GKDqOc5SFgQXQCGgRRRDw==" saltValue="3ZJJPwYzAfVA30gG/blI1w==" spinCount="100000" sheet="1" objects="1" scenarios="1" selectLockedCells="1"/>
  <protectedRanges>
    <protectedRange sqref="H1:H2 F1:F2 B1:B2" name="Athletendaten"/>
    <protectedRange sqref="F38:F49 C20:F35 D69:E440 C69:C441 F4:F8 C38:E68 C11:E16 F11:F17" name="Werte und Varianten"/>
    <protectedRange algorithmName="SHA-512" hashValue="EtPG7jm6pk6JVG08ToKZL4Sto4PS6TOUsygvFmj6DTfcGnX6DwKdfjTEg/2X1Hwnu/CwfNhBUSnXKs/oLqcupQ==" saltValue="sPse4fdTsI5OFESYvRIl8Q==" spinCount="100000" sqref="H4:H8 H38:H49 H20:H35 H11:H17" name="Punktzahlen"/>
  </protectedRanges>
  <mergeCells count="44">
    <mergeCell ref="A50:G50"/>
    <mergeCell ref="A51:G51"/>
    <mergeCell ref="A44:D44"/>
    <mergeCell ref="A45:D45"/>
    <mergeCell ref="A46:D46"/>
    <mergeCell ref="A47:D47"/>
    <mergeCell ref="A48:D48"/>
    <mergeCell ref="A49:D49"/>
    <mergeCell ref="A43:D43"/>
    <mergeCell ref="A32:B32"/>
    <mergeCell ref="A33:B33"/>
    <mergeCell ref="A34:B34"/>
    <mergeCell ref="A35:B35"/>
    <mergeCell ref="A36:G36"/>
    <mergeCell ref="A37:D37"/>
    <mergeCell ref="A38:D38"/>
    <mergeCell ref="A39:D39"/>
    <mergeCell ref="A40:D40"/>
    <mergeCell ref="A41:D41"/>
    <mergeCell ref="A42:D42"/>
    <mergeCell ref="A31:B31"/>
    <mergeCell ref="A13:E13"/>
    <mergeCell ref="A14:E14"/>
    <mergeCell ref="A15:E15"/>
    <mergeCell ref="A16:E16"/>
    <mergeCell ref="A18:G18"/>
    <mergeCell ref="A19:C19"/>
    <mergeCell ref="A20:B20"/>
    <mergeCell ref="A21:B21"/>
    <mergeCell ref="A22:B22"/>
    <mergeCell ref="A23:B23"/>
    <mergeCell ref="A30:B30"/>
    <mergeCell ref="A12:E12"/>
    <mergeCell ref="B1:E1"/>
    <mergeCell ref="B2:F2"/>
    <mergeCell ref="A3:E3"/>
    <mergeCell ref="A4:E4"/>
    <mergeCell ref="A5:E5"/>
    <mergeCell ref="A6:E6"/>
    <mergeCell ref="A7:E7"/>
    <mergeCell ref="A8:E8"/>
    <mergeCell ref="A9:G9"/>
    <mergeCell ref="A10:E10"/>
    <mergeCell ref="A11:E11"/>
  </mergeCells>
  <conditionalFormatting sqref="F46:F49">
    <cfRule type="expression" dxfId="207" priority="3">
      <formula>$A46=" "</formula>
    </cfRule>
  </conditionalFormatting>
  <conditionalFormatting sqref="B24:B29 C21:E29">
    <cfRule type="expression" dxfId="206" priority="2">
      <formula>$A21="entfällt"</formula>
    </cfRule>
    <cfRule type="expression" dxfId="205" priority="4">
      <formula>$H$2&gt;14</formula>
    </cfRule>
  </conditionalFormatting>
  <conditionalFormatting sqref="B24:B29">
    <cfRule type="expression" dxfId="204" priority="1">
      <formula>AND($A24="TN",$C24&lt;&gt;"")</formula>
    </cfRule>
  </conditionalFormatting>
  <dataValidations count="19">
    <dataValidation type="decimal" errorStyle="warning" allowBlank="1" showInputMessage="1" showErrorMessage="1" error="Eingegebener Abzug überschreitet maximal zulässigen Abzug, Wert bitte überprüfen!" sqref="F21:F35" xr:uid="{549C1274-9E8C-482B-8DD5-201B03490955}">
      <formula1>0</formula1>
      <formula2>$E21</formula2>
    </dataValidation>
    <dataValidation type="list" allowBlank="1" showInputMessage="1" showErrorMessage="1" sqref="C20" xr:uid="{581C2526-EC84-4228-88EC-E42F4230F716}">
      <formula1>"Lichtschranke,Druckmessplatte"</formula1>
    </dataValidation>
    <dataValidation type="whole" allowBlank="1" showInputMessage="1" showErrorMessage="1" errorTitle="Falsche Eingabe" error="Bitte Wert prüfen" sqref="D17" xr:uid="{828050E9-C09F-4D8C-B137-C8506793A066}">
      <formula1>1</formula1>
      <formula2>13</formula2>
    </dataValidation>
    <dataValidation type="list" allowBlank="1" showInputMessage="1" sqref="C24:C29" xr:uid="{B707F8E8-5DE8-4940-BA46-9B11B79BB41D}">
      <formula1>INDIRECT($C$61)</formula1>
    </dataValidation>
    <dataValidation type="list" allowBlank="1" showInputMessage="1" sqref="C21:C23" xr:uid="{1CD3BCEB-C7CE-499C-8078-183A1BAE9777}">
      <formula1>INDIRECT($C$58)</formula1>
    </dataValidation>
    <dataValidation allowBlank="1" showInputMessage="1" showErrorMessage="1" prompt="Anzahl der Wiederholungen" sqref="F11" xr:uid="{BB86B665-9C19-42AD-831A-D4EA0F1339B1}"/>
    <dataValidation type="whole" allowBlank="1" showInputMessage="1" showErrorMessage="1" prompt="Abstand von der Oberkante des Turnhockers zur schlechtesten Fingerspitze in cm" sqref="F6" xr:uid="{107BEA41-C94B-41FD-A07E-C4B1AEC3B7AD}">
      <formula1>-50</formula1>
      <formula2>50</formula2>
    </dataValidation>
    <dataValidation type="list" allowBlank="1" showInputMessage="1" showErrorMessage="1" prompt="Punktzahl nach Vergleich mit Bild" sqref="F5" xr:uid="{D6792B48-68A5-4103-8919-951B6778CF18}">
      <formula1>"0,2,6,10"</formula1>
    </dataValidation>
    <dataValidation type="whole" allowBlank="1" showErrorMessage="1" errorTitle="Falsche Eingabe" error="Bitte Wert prüfen" prompt="Höchste erreichte Stufe" sqref="F17" xr:uid="{93A2DB62-285F-4E54-A5CD-A8AE86672B5A}">
      <formula1>1</formula1>
      <formula2>11</formula2>
    </dataValidation>
    <dataValidation allowBlank="1" sqref="D20:E20" xr:uid="{37187628-8162-47C6-A436-6D72594C7C59}"/>
    <dataValidation type="decimal" errorStyle="warning" allowBlank="1" showInputMessage="1" showErrorMessage="1" error="Abzug höher als Wert des Elements, bitte überprüfen!" prompt="Abzug" sqref="F38:F49" xr:uid="{B22952BE-D7FF-404C-80AB-1BA4268E8576}">
      <formula1>0</formula1>
      <formula2>$E38</formula2>
    </dataValidation>
    <dataValidation type="whole" allowBlank="1" showInputMessage="1" showErrorMessage="1" prompt="AKs 9 - 13: Übersprungene Kästchen_x000a__x000a_AKs 14 - 21: Anzahl Saltos" sqref="F15" xr:uid="{BF11F3E6-AD80-47B2-8398-67FC967CC3FF}">
      <formula1>0</formula1>
      <formula2>50</formula2>
    </dataValidation>
    <dataValidation type="list" allowBlank="1" showInputMessage="1" showErrorMessage="1" sqref="F1" xr:uid="{1AA62496-6C31-4459-B8BE-FFD3B347927E}">
      <formula1>"männlich,weiblich"</formula1>
    </dataValidation>
    <dataValidation type="whole" allowBlank="1" showInputMessage="1" showErrorMessage="1" sqref="H4:H8" xr:uid="{E5AAE61E-73A0-478C-A579-BBC6A6802C7D}">
      <formula1>0</formula1>
      <formula2>10</formula2>
    </dataValidation>
    <dataValidation type="whole" allowBlank="1" showInputMessage="1" showErrorMessage="1" prompt="Haltezeit in Sekunden" sqref="F13" xr:uid="{C380D5B1-1636-4AF8-A477-61068BCEE206}">
      <formula1>0</formula1>
      <formula2>200</formula2>
    </dataValidation>
    <dataValidation type="whole" allowBlank="1" showInputMessage="1" showErrorMessage="1" prompt="Haltezeit in Sekunden" sqref="F16" xr:uid="{7AF1C5F9-B53A-4721-9F1E-36211B7D7B7B}">
      <formula1>0</formula1>
      <formula2>100</formula2>
    </dataValidation>
    <dataValidation type="whole" allowBlank="1" showInputMessage="1" showErrorMessage="1" prompt="Anzahl der Wiederholungen" sqref="F14 F12" xr:uid="{B81A6BB5-4763-406F-BF31-7D333112BE0F}">
      <formula1>0</formula1>
      <formula2>50</formula2>
    </dataValidation>
    <dataValidation type="list" operator="equal" allowBlank="1" showInputMessage="1" showErrorMessage="1" prompt="Punktzahl nach Vergleich mit Bild" sqref="F4" xr:uid="{B23C50EB-74C5-41B8-B947-F387645A3CBE}">
      <formula1>"0,2,6,10"</formula1>
    </dataValidation>
    <dataValidation type="decimal" errorStyle="warning" showDropDown="1" showErrorMessage="1" error="Wert unrealistisch hoch, bitte Eingabe überprüfen" promptTitle="Vorsicht" sqref="F20" xr:uid="{427A4569-33D9-4E56-9A57-7FEA3FC0AACD}">
      <formula1>0</formula1>
      <formula2>30</formula2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Bitte Werte aus Dropdown auswählen" prompt="Abstand vom Boden laut Schablone" xr:uid="{677B197A-AF71-4FB9-AAAF-B131CABBB9A2}">
          <x14:formula1>
            <xm:f>Punktetabellen!$A$3:$A$6</xm:f>
          </x14:formula1>
          <xm:sqref>F7:F8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30093-F4FF-47D8-B92C-49D683D68EEA}">
  <sheetPr codeName="Tabelle14">
    <tabColor indexed="47"/>
    <pageSetUpPr fitToPage="1"/>
  </sheetPr>
  <dimension ref="A1:J70"/>
  <sheetViews>
    <sheetView zoomScale="85" zoomScaleNormal="85" workbookViewId="0">
      <pane ySplit="2" topLeftCell="A3" activePane="bottomLeft" state="frozen"/>
      <selection sqref="A1:H1"/>
      <selection pane="bottomLeft" activeCell="F40" sqref="F40"/>
    </sheetView>
  </sheetViews>
  <sheetFormatPr baseColWidth="10" defaultColWidth="0" defaultRowHeight="14.5" zeroHeight="1" outlineLevelRow="1" x14ac:dyDescent="0.35"/>
  <cols>
    <col min="1" max="1" width="11.453125" customWidth="1"/>
    <col min="2" max="2" width="12.1796875" customWidth="1"/>
    <col min="3" max="3" width="44.81640625" bestFit="1" customWidth="1"/>
    <col min="4" max="5" width="11.453125" style="148" customWidth="1"/>
    <col min="6" max="6" width="16.1796875" style="148" bestFit="1" customWidth="1"/>
    <col min="7" max="7" width="13.81640625" style="148" customWidth="1"/>
    <col min="8" max="8" width="11.453125" customWidth="1"/>
    <col min="9" max="9" width="6.1796875" style="23" hidden="1" customWidth="1"/>
    <col min="10" max="10" width="0" hidden="1" customWidth="1"/>
    <col min="11" max="16384" width="11.453125" hidden="1"/>
  </cols>
  <sheetData>
    <row r="1" spans="1:8" ht="15.5" x14ac:dyDescent="0.35">
      <c r="A1" s="16" t="s">
        <v>1</v>
      </c>
      <c r="B1" s="186" t="s">
        <v>362</v>
      </c>
      <c r="C1" s="187"/>
      <c r="D1" s="187"/>
      <c r="E1" s="188"/>
      <c r="F1" s="51" t="s">
        <v>97</v>
      </c>
      <c r="G1" s="61" t="s">
        <v>24</v>
      </c>
      <c r="H1" s="63">
        <v>2008</v>
      </c>
    </row>
    <row r="2" spans="1:8" ht="16" thickBot="1" x14ac:dyDescent="0.4">
      <c r="A2" s="17" t="s">
        <v>4</v>
      </c>
      <c r="B2" s="198" t="s">
        <v>361</v>
      </c>
      <c r="C2" s="199"/>
      <c r="D2" s="199"/>
      <c r="E2" s="199"/>
      <c r="F2" s="200"/>
      <c r="G2" s="62" t="s">
        <v>3</v>
      </c>
      <c r="H2" s="64">
        <f>2022-H1</f>
        <v>14</v>
      </c>
    </row>
    <row r="3" spans="1:8" ht="15" outlineLevel="1" thickBot="1" x14ac:dyDescent="0.4">
      <c r="A3" s="189" t="s">
        <v>26</v>
      </c>
      <c r="B3" s="190"/>
      <c r="C3" s="190"/>
      <c r="D3" s="190"/>
      <c r="E3" s="191"/>
      <c r="F3" s="46" t="s">
        <v>27</v>
      </c>
      <c r="G3" s="47" t="s">
        <v>28</v>
      </c>
      <c r="H3" s="22" t="s">
        <v>234</v>
      </c>
    </row>
    <row r="4" spans="1:8" outlineLevel="1" x14ac:dyDescent="0.35">
      <c r="A4" s="192" t="s">
        <v>30</v>
      </c>
      <c r="B4" s="193"/>
      <c r="C4" s="193"/>
      <c r="D4" s="193"/>
      <c r="E4" s="194"/>
      <c r="F4" s="25">
        <v>10</v>
      </c>
      <c r="G4" s="55" t="s">
        <v>32</v>
      </c>
      <c r="H4" s="34">
        <f>F4</f>
        <v>10</v>
      </c>
    </row>
    <row r="5" spans="1:8" outlineLevel="1" x14ac:dyDescent="0.35">
      <c r="A5" s="195" t="s">
        <v>85</v>
      </c>
      <c r="B5" s="196"/>
      <c r="C5" s="196"/>
      <c r="D5" s="196"/>
      <c r="E5" s="197"/>
      <c r="F5" s="14">
        <v>10</v>
      </c>
      <c r="G5" s="56" t="s">
        <v>32</v>
      </c>
      <c r="H5" s="35">
        <f>F5</f>
        <v>10</v>
      </c>
    </row>
    <row r="6" spans="1:8" outlineLevel="1" x14ac:dyDescent="0.35">
      <c r="A6" s="195" t="s">
        <v>33</v>
      </c>
      <c r="B6" s="196"/>
      <c r="C6" s="196"/>
      <c r="D6" s="196"/>
      <c r="E6" s="197"/>
      <c r="F6" s="14">
        <v>20</v>
      </c>
      <c r="G6" s="56" t="s">
        <v>31</v>
      </c>
      <c r="H6" s="35">
        <f>IF(F6="",0,VLOOKUP(F6,Punktetabellen!A10:B15,2,1))</f>
        <v>10</v>
      </c>
    </row>
    <row r="7" spans="1:8" outlineLevel="1" x14ac:dyDescent="0.35">
      <c r="A7" s="195" t="s">
        <v>34</v>
      </c>
      <c r="B7" s="196"/>
      <c r="C7" s="196"/>
      <c r="D7" s="196"/>
      <c r="E7" s="197"/>
      <c r="F7" s="14">
        <v>0</v>
      </c>
      <c r="G7" s="56" t="s">
        <v>31</v>
      </c>
      <c r="H7" s="35">
        <f>IF(F7="",0,VLOOKUP(F7,Punktetabellen!A3:B6,2,0))</f>
        <v>5</v>
      </c>
    </row>
    <row r="8" spans="1:8" ht="15" outlineLevel="1" thickBot="1" x14ac:dyDescent="0.4">
      <c r="A8" s="204" t="s">
        <v>35</v>
      </c>
      <c r="B8" s="205"/>
      <c r="C8" s="205"/>
      <c r="D8" s="205"/>
      <c r="E8" s="206"/>
      <c r="F8" s="41">
        <v>0</v>
      </c>
      <c r="G8" s="57" t="s">
        <v>31</v>
      </c>
      <c r="H8" s="36">
        <f>IF(F8="",0,VLOOKUP(F8,Punktetabellen!A3:B6,2,0))</f>
        <v>5</v>
      </c>
    </row>
    <row r="9" spans="1:8" ht="15" thickBot="1" x14ac:dyDescent="0.4">
      <c r="A9" s="210" t="s">
        <v>36</v>
      </c>
      <c r="B9" s="211"/>
      <c r="C9" s="211"/>
      <c r="D9" s="211"/>
      <c r="E9" s="211"/>
      <c r="F9" s="211"/>
      <c r="G9" s="211"/>
      <c r="H9" s="48">
        <f>SUM(H4:H8)</f>
        <v>40</v>
      </c>
    </row>
    <row r="10" spans="1:8" ht="15" outlineLevel="1" thickBot="1" x14ac:dyDescent="0.4">
      <c r="A10" s="189" t="s">
        <v>26</v>
      </c>
      <c r="B10" s="190"/>
      <c r="C10" s="190"/>
      <c r="D10" s="190"/>
      <c r="E10" s="191"/>
      <c r="F10" s="46" t="s">
        <v>27</v>
      </c>
      <c r="G10" s="47" t="s">
        <v>28</v>
      </c>
      <c r="H10" s="22" t="s">
        <v>234</v>
      </c>
    </row>
    <row r="11" spans="1:8" outlineLevel="1" x14ac:dyDescent="0.35">
      <c r="A11" s="207" t="s">
        <v>37</v>
      </c>
      <c r="B11" s="208"/>
      <c r="C11" s="208"/>
      <c r="D11" s="208"/>
      <c r="E11" s="209"/>
      <c r="F11" s="26">
        <v>5</v>
      </c>
      <c r="G11" s="58" t="s">
        <v>31</v>
      </c>
      <c r="H11" s="37">
        <f>IF($F11="",0,VLOOKUP($F11,Pkte_Klimmzug[],$H$2,1))</f>
        <v>4</v>
      </c>
    </row>
    <row r="12" spans="1:8" outlineLevel="1" x14ac:dyDescent="0.35">
      <c r="A12" s="201" t="s">
        <v>38</v>
      </c>
      <c r="B12" s="202"/>
      <c r="C12" s="202"/>
      <c r="D12" s="202"/>
      <c r="E12" s="203"/>
      <c r="F12" s="27">
        <v>7</v>
      </c>
      <c r="G12" s="59" t="s">
        <v>31</v>
      </c>
      <c r="H12" s="38">
        <f>IF($F12="",0,VLOOKUP($F12,Pkte_Beinheben[],$H$2,1))</f>
        <v>7</v>
      </c>
    </row>
    <row r="13" spans="1:8" outlineLevel="1" x14ac:dyDescent="0.35">
      <c r="A13" s="201" t="s">
        <v>88</v>
      </c>
      <c r="B13" s="202"/>
      <c r="C13" s="202"/>
      <c r="D13" s="202"/>
      <c r="E13" s="203"/>
      <c r="F13" s="27">
        <v>75</v>
      </c>
      <c r="G13" s="59" t="s">
        <v>31</v>
      </c>
      <c r="H13" s="38">
        <f>IF($F13="",0,VLOOKUP($F13,Pkte_Flieger[],$H$2,1))</f>
        <v>5</v>
      </c>
    </row>
    <row r="14" spans="1:8" outlineLevel="1" x14ac:dyDescent="0.35">
      <c r="A14" s="201" t="s">
        <v>39</v>
      </c>
      <c r="B14" s="202"/>
      <c r="C14" s="202"/>
      <c r="D14" s="202"/>
      <c r="E14" s="203"/>
      <c r="F14" s="27">
        <v>25</v>
      </c>
      <c r="G14" s="59" t="s">
        <v>31</v>
      </c>
      <c r="H14" s="38">
        <f>IF($F14="",0,VLOOKUP($F14,Pkte_Rollenverbindung[],$H$2,1))</f>
        <v>10</v>
      </c>
    </row>
    <row r="15" spans="1:8" outlineLevel="1" x14ac:dyDescent="0.35">
      <c r="A15" s="201" t="s">
        <v>89</v>
      </c>
      <c r="B15" s="202"/>
      <c r="C15" s="202"/>
      <c r="D15" s="202"/>
      <c r="E15" s="203"/>
      <c r="F15" s="27">
        <v>36</v>
      </c>
      <c r="G15" s="59" t="s">
        <v>31</v>
      </c>
      <c r="H15" s="38">
        <f>IF($F15="",0,VLOOKUP($F15,Pkte_Prellsprung[],$H$2,1))</f>
        <v>8</v>
      </c>
    </row>
    <row r="16" spans="1:8" outlineLevel="1" x14ac:dyDescent="0.35">
      <c r="A16" s="201" t="s">
        <v>90</v>
      </c>
      <c r="B16" s="202"/>
      <c r="C16" s="202"/>
      <c r="D16" s="202"/>
      <c r="E16" s="203"/>
      <c r="F16" s="28">
        <v>30</v>
      </c>
      <c r="G16" s="59" t="s">
        <v>31</v>
      </c>
      <c r="H16" s="38">
        <f>IF($F16="",0,VLOOKUP($F16,Pkte_Handstand[],$H$2,1))</f>
        <v>10</v>
      </c>
    </row>
    <row r="17" spans="1:8" ht="15" outlineLevel="1" thickBot="1" x14ac:dyDescent="0.4">
      <c r="A17" s="112" t="s">
        <v>93</v>
      </c>
      <c r="B17" s="113"/>
      <c r="C17" s="114" t="s">
        <v>269</v>
      </c>
      <c r="D17" s="29">
        <v>8</v>
      </c>
      <c r="E17" s="115" t="s">
        <v>270</v>
      </c>
      <c r="F17" s="29">
        <v>1</v>
      </c>
      <c r="G17" s="60" t="s">
        <v>31</v>
      </c>
      <c r="H17" s="39">
        <f>IF($F17="",0,IF($F$1="weiblich",VLOOKUP((100*$D17+$F17),Pkte_Shuttle_W[],$H$2,1),VLOOKUP((100*$D17+$F17),Pkte_Shuttle_M[],$H$2,1)))</f>
        <v>6</v>
      </c>
    </row>
    <row r="18" spans="1:8" ht="15" thickBot="1" x14ac:dyDescent="0.4">
      <c r="A18" s="161" t="s">
        <v>40</v>
      </c>
      <c r="B18" s="162"/>
      <c r="C18" s="162"/>
      <c r="D18" s="162"/>
      <c r="E18" s="162"/>
      <c r="F18" s="162"/>
      <c r="G18" s="162"/>
      <c r="H18" s="48">
        <f>SUM(H11:H17)</f>
        <v>50</v>
      </c>
    </row>
    <row r="19" spans="1:8" ht="15" outlineLevel="1" thickBot="1" x14ac:dyDescent="0.4">
      <c r="A19" s="159" t="s">
        <v>26</v>
      </c>
      <c r="B19" s="160"/>
      <c r="C19" s="160"/>
      <c r="D19" s="85" t="s">
        <v>235</v>
      </c>
      <c r="E19" s="85" t="s">
        <v>238</v>
      </c>
      <c r="F19" s="85" t="s">
        <v>236</v>
      </c>
      <c r="G19" s="86" t="s">
        <v>28</v>
      </c>
      <c r="H19" s="49" t="s">
        <v>234</v>
      </c>
    </row>
    <row r="20" spans="1:8" outlineLevel="1" x14ac:dyDescent="0.35">
      <c r="A20" s="167" t="s">
        <v>148</v>
      </c>
      <c r="B20" s="168"/>
      <c r="C20" s="116" t="str">
        <f>Infos!A10</f>
        <v>Druckmessplatte</v>
      </c>
      <c r="D20" s="90">
        <f>IF(F1="männlich",VLOOKUP(H2,Standsprünge!A3:C15,3,0),VLOOKUP(H2,Standsprünge!A3:B15,2,0))+IF(C20="Druckmessplatte",0)</f>
        <v>15.6</v>
      </c>
      <c r="E20" s="90"/>
      <c r="F20" s="67">
        <v>15.914999999999999</v>
      </c>
      <c r="G20" s="91" t="s">
        <v>149</v>
      </c>
      <c r="H20" s="88">
        <f>IF(F20="",0,(F20-D20)*10)</f>
        <v>3.149999999999995</v>
      </c>
    </row>
    <row r="21" spans="1:8" outlineLevel="1" x14ac:dyDescent="0.35">
      <c r="A21" s="165" t="str">
        <f>IF(H2&gt;15,"entfällt","TBN")</f>
        <v>TBN</v>
      </c>
      <c r="B21" s="166"/>
      <c r="C21" s="77" t="s">
        <v>351</v>
      </c>
      <c r="D21" s="78">
        <f ca="1">IF(C21="","",VLOOKUP(C21,INDIRECT($C$57),2,0))</f>
        <v>10</v>
      </c>
      <c r="E21" s="78">
        <f ca="1">IF(C21="","",VLOOKUP(C21,INDIRECT($C$57),3,0))</f>
        <v>6</v>
      </c>
      <c r="F21" s="42">
        <v>2</v>
      </c>
      <c r="G21" s="71" t="str">
        <f>IF(H2&gt;16,"entfällt","Wert - Abzug")</f>
        <v>Wert - Abzug</v>
      </c>
      <c r="H21" s="66">
        <f ca="1">IF(A21="entfällt",0,IF(F21="",0,D21-F21))</f>
        <v>8</v>
      </c>
    </row>
    <row r="22" spans="1:8" outlineLevel="1" x14ac:dyDescent="0.35">
      <c r="A22" s="165" t="str">
        <f>IF(H2&gt;15,"entfällt","TBN")</f>
        <v>TBN</v>
      </c>
      <c r="B22" s="166"/>
      <c r="C22" s="77" t="s">
        <v>381</v>
      </c>
      <c r="D22" s="78">
        <v>13</v>
      </c>
      <c r="E22" s="78">
        <v>6</v>
      </c>
      <c r="F22" s="42">
        <v>2</v>
      </c>
      <c r="G22" s="71" t="str">
        <f>IF(H2&gt;16,"entfällt","Wert - Abzug")</f>
        <v>Wert - Abzug</v>
      </c>
      <c r="H22" s="66">
        <f t="shared" ref="H22:H28" si="0">IF(A22="entfällt",0,IF(F22="",0,D22-F22))</f>
        <v>11</v>
      </c>
    </row>
    <row r="23" spans="1:8" outlineLevel="1" x14ac:dyDescent="0.35">
      <c r="A23" s="165" t="str">
        <f>IF(H2&gt;11,"entfällt","TBN")</f>
        <v>entfällt</v>
      </c>
      <c r="B23" s="166"/>
      <c r="C23" s="77"/>
      <c r="D23" s="78" t="str">
        <f ca="1">IF(C23="","",VLOOKUP(C23,INDIRECT($C$57),2,0))</f>
        <v/>
      </c>
      <c r="E23" s="78" t="str">
        <f ca="1">IF(C23="","",VLOOKUP(C23,INDIRECT($C$57),3,0))</f>
        <v/>
      </c>
      <c r="F23" s="42"/>
      <c r="G23" s="71" t="str">
        <f>IF(H2&gt;16,"entfällt","Wert - Abzug")</f>
        <v>Wert - Abzug</v>
      </c>
      <c r="H23" s="66">
        <f t="shared" si="0"/>
        <v>0</v>
      </c>
    </row>
    <row r="24" spans="1:8" outlineLevel="1" x14ac:dyDescent="0.35">
      <c r="A24" s="110" t="s">
        <v>147</v>
      </c>
      <c r="B24" s="111"/>
      <c r="C24" s="77" t="s">
        <v>185</v>
      </c>
      <c r="D24" s="78">
        <v>15</v>
      </c>
      <c r="E24" s="78">
        <v>6</v>
      </c>
      <c r="F24" s="42">
        <v>2</v>
      </c>
      <c r="G24" s="71" t="s">
        <v>146</v>
      </c>
      <c r="H24" s="66">
        <f t="shared" si="0"/>
        <v>13</v>
      </c>
    </row>
    <row r="25" spans="1:8" outlineLevel="1" x14ac:dyDescent="0.35">
      <c r="A25" s="110" t="s">
        <v>147</v>
      </c>
      <c r="B25" s="111"/>
      <c r="C25" s="77" t="s">
        <v>184</v>
      </c>
      <c r="D25" s="78">
        <v>13</v>
      </c>
      <c r="E25" s="78">
        <v>6</v>
      </c>
      <c r="F25" s="42">
        <v>2</v>
      </c>
      <c r="G25" s="71" t="s">
        <v>146</v>
      </c>
      <c r="H25" s="66">
        <f t="shared" si="0"/>
        <v>11</v>
      </c>
    </row>
    <row r="26" spans="1:8" outlineLevel="1" x14ac:dyDescent="0.35">
      <c r="A26" s="110" t="s">
        <v>147</v>
      </c>
      <c r="B26" s="111"/>
      <c r="C26" s="77" t="s">
        <v>186</v>
      </c>
      <c r="D26" s="78">
        <v>14</v>
      </c>
      <c r="E26" s="78">
        <v>6</v>
      </c>
      <c r="F26" s="42">
        <v>4</v>
      </c>
      <c r="G26" s="71" t="s">
        <v>146</v>
      </c>
      <c r="H26" s="66">
        <f t="shared" si="0"/>
        <v>10</v>
      </c>
    </row>
    <row r="27" spans="1:8" outlineLevel="1" x14ac:dyDescent="0.35">
      <c r="A27" s="110" t="str">
        <f>IF(H2&gt;11,"TN","entfällt")</f>
        <v>TN</v>
      </c>
      <c r="B27" s="111"/>
      <c r="C27" s="77" t="s">
        <v>217</v>
      </c>
      <c r="D27" s="78">
        <v>12</v>
      </c>
      <c r="E27" s="78">
        <v>6</v>
      </c>
      <c r="F27" s="42">
        <v>2</v>
      </c>
      <c r="G27" s="71" t="str">
        <f>IF(H2&gt;12,"Wert - Abzug","entfällt")</f>
        <v>Wert - Abzug</v>
      </c>
      <c r="H27" s="66">
        <f t="shared" si="0"/>
        <v>10</v>
      </c>
    </row>
    <row r="28" spans="1:8" outlineLevel="1" x14ac:dyDescent="0.35">
      <c r="A28" s="110" t="str">
        <f>IF(H2&gt;15,"TN","entfällt")</f>
        <v>entfällt</v>
      </c>
      <c r="B28" s="111"/>
      <c r="C28" s="77"/>
      <c r="D28" s="78"/>
      <c r="E28" s="78"/>
      <c r="F28" s="42"/>
      <c r="G28" s="71" t="str">
        <f>IF(H2&gt;16,"Wert - Abzug","entfällt")</f>
        <v>entfällt</v>
      </c>
      <c r="H28" s="66">
        <f t="shared" si="0"/>
        <v>0</v>
      </c>
    </row>
    <row r="29" spans="1:8" outlineLevel="1" x14ac:dyDescent="0.35">
      <c r="A29" s="110" t="str">
        <f>IF(H2&gt;15,"TN","entfällt")</f>
        <v>entfällt</v>
      </c>
      <c r="B29" s="111"/>
      <c r="C29" s="77"/>
      <c r="D29" s="78"/>
      <c r="E29" s="78"/>
      <c r="F29" s="42"/>
      <c r="G29" s="71" t="str">
        <f>IF(H2&gt;16,"Wert - Abzug","entfällt")</f>
        <v>entfällt</v>
      </c>
      <c r="H29" s="66">
        <f>IF(A29="entfällt",0,IF(F29="",0,D29-F29))</f>
        <v>0</v>
      </c>
    </row>
    <row r="30" spans="1:8" outlineLevel="1" x14ac:dyDescent="0.35">
      <c r="A30" s="165" t="str">
        <f>IF($H$2&gt;10,"Verbindung Sprung 1","entfällt")</f>
        <v>Verbindung Sprung 1</v>
      </c>
      <c r="B30" s="166"/>
      <c r="C30" s="40" t="str">
        <f ca="1">IF(A30&lt;&gt;"entfällt",VLOOKUP(1,INDIRECT($C$68),2,0),"")</f>
        <v>801&lt;</v>
      </c>
      <c r="D30" s="40">
        <f ca="1">IF(A30&lt;&gt;"entfällt",VLOOKUP(1,INDIRECT($C$68),3,0),"")</f>
        <v>13</v>
      </c>
      <c r="E30" s="40">
        <f ca="1">IF(A30&lt;&gt;"entfällt",VLOOKUP(1,INDIRECT($C$68),4,0),"")</f>
        <v>3</v>
      </c>
      <c r="F30" s="42">
        <v>2</v>
      </c>
      <c r="G30" s="71" t="str">
        <f>IF(H2&gt;12,"Wert - Abzug","entfällt")</f>
        <v>Wert - Abzug</v>
      </c>
      <c r="H30" s="66"/>
    </row>
    <row r="31" spans="1:8" outlineLevel="1" x14ac:dyDescent="0.35">
      <c r="A31" s="165" t="str">
        <f>IF($H$2&gt;10,"Verbindung Sprung 2","entfällt")</f>
        <v>Verbindung Sprung 2</v>
      </c>
      <c r="B31" s="166"/>
      <c r="C31" s="40" t="str">
        <f ca="1">IF(A31&lt;&gt;"entfällt",VLOOKUP(2,INDIRECT($C$68),2,0),"")</f>
        <v>40&lt;</v>
      </c>
      <c r="D31" s="40">
        <f ca="1">IF(A31&lt;&gt;"entfällt",VLOOKUP(2,INDIRECT($C$68),3,0),"")</f>
        <v>6</v>
      </c>
      <c r="E31" s="40">
        <f ca="1">IF(A31&lt;&gt;"entfällt",VLOOKUP(2,INDIRECT($C$68),4,0),"")</f>
        <v>3</v>
      </c>
      <c r="F31" s="42">
        <v>1</v>
      </c>
      <c r="G31" s="71" t="str">
        <f>IF(H2&gt;12,"Wert - Abzug","entfällt")</f>
        <v>Wert - Abzug</v>
      </c>
      <c r="H31" s="66"/>
    </row>
    <row r="32" spans="1:8" outlineLevel="1" x14ac:dyDescent="0.35">
      <c r="A32" s="165" t="str">
        <f>IF($H$2&gt;10,"Verbindung Sprung 3","entfällt")</f>
        <v>Verbindung Sprung 3</v>
      </c>
      <c r="B32" s="166"/>
      <c r="C32" s="40" t="str">
        <f ca="1">IF(A32&lt;&gt;"entfällt",VLOOKUP(3,INDIRECT($C$68),2,0),"")</f>
        <v>801°</v>
      </c>
      <c r="D32" s="40">
        <f ca="1">IF(A32&lt;&gt;"entfällt",VLOOKUP(3,INDIRECT($C$68),3,0),"")</f>
        <v>11</v>
      </c>
      <c r="E32" s="40">
        <f ca="1">IF(A32&lt;&gt;"entfällt",VLOOKUP(3,INDIRECT($C$68),4,0),"")</f>
        <v>3</v>
      </c>
      <c r="F32" s="42">
        <v>2</v>
      </c>
      <c r="G32" s="71" t="str">
        <f>IF(H2&gt;12,"Wert - Abzug","entfällt")</f>
        <v>Wert - Abzug</v>
      </c>
      <c r="H32" s="66"/>
    </row>
    <row r="33" spans="1:8" outlineLevel="1" x14ac:dyDescent="0.35">
      <c r="A33" s="165" t="str">
        <f>IF($H$2&gt;10,"Verbindung Sprung 4","entfällt")</f>
        <v>Verbindung Sprung 4</v>
      </c>
      <c r="B33" s="166"/>
      <c r="C33" s="40" t="str">
        <f ca="1">IF(A33&lt;&gt;"entfällt",VLOOKUP(4,INDIRECT($C$68),2,0),"")</f>
        <v>40/</v>
      </c>
      <c r="D33" s="40">
        <f ca="1">IF(A33&lt;&gt;"entfällt",VLOOKUP(4,INDIRECT($C$68),3,0),"")</f>
        <v>6</v>
      </c>
      <c r="E33" s="40">
        <f ca="1">IF(A33&lt;&gt;"entfällt",VLOOKUP(4,INDIRECT($C$68),4,0),"")</f>
        <v>3</v>
      </c>
      <c r="F33" s="42">
        <v>1</v>
      </c>
      <c r="G33" s="71" t="str">
        <f>IF(H2&gt;12,"Wert - Abzug","entfällt")</f>
        <v>Wert - Abzug</v>
      </c>
      <c r="H33" s="66"/>
    </row>
    <row r="34" spans="1:8" outlineLevel="1" x14ac:dyDescent="0.35">
      <c r="A34" s="165" t="str">
        <f>IF($H$2&gt;10,"Verbindung Sprung 5","entfällt")</f>
        <v>Verbindung Sprung 5</v>
      </c>
      <c r="B34" s="166"/>
      <c r="C34" s="40" t="str">
        <f ca="1">IF(A34&lt;&gt;"entfällt",VLOOKUP(5,INDIRECT($C$68),2,0),"")</f>
        <v>41/</v>
      </c>
      <c r="D34" s="40">
        <f ca="1">IF(A34&lt;&gt;"entfällt",VLOOKUP(5,INDIRECT($C$68),3,0),"")</f>
        <v>6</v>
      </c>
      <c r="E34" s="40">
        <f ca="1">IF(A34&lt;&gt;"entfällt",VLOOKUP(5,INDIRECT($C$68),4,0),"")</f>
        <v>3</v>
      </c>
      <c r="F34" s="42">
        <v>2</v>
      </c>
      <c r="G34" s="71" t="str">
        <f>IF(H2&gt;12,"Wert - Abzug","entfällt")</f>
        <v>Wert - Abzug</v>
      </c>
      <c r="H34" s="66"/>
    </row>
    <row r="35" spans="1:8" ht="15" outlineLevel="1" thickBot="1" x14ac:dyDescent="0.4">
      <c r="A35" s="171" t="str">
        <f>IF($H$2&gt;10,"Verbindung Sprung 6","entfällt")</f>
        <v>Verbindung Sprung 6</v>
      </c>
      <c r="B35" s="172"/>
      <c r="C35" s="68" t="str">
        <f ca="1">IF(A35&lt;&gt;"entfällt",VLOOKUP(6,INDIRECT($C$68),2,0),"")</f>
        <v>800°</v>
      </c>
      <c r="D35" s="68">
        <f ca="1">IF(A35&lt;&gt;"entfällt",VLOOKUP(6,INDIRECT($C$68),3,0),"")</f>
        <v>10</v>
      </c>
      <c r="E35" s="68">
        <f ca="1">IF(A35&lt;&gt;"entfällt",VLOOKUP(6,INDIRECT($C$68),4,0),"")</f>
        <v>3</v>
      </c>
      <c r="F35" s="69">
        <v>2</v>
      </c>
      <c r="G35" s="72" t="str">
        <f>IF(H2&gt;12,"Wert - Abzug","entfällt")</f>
        <v>Wert - Abzug</v>
      </c>
      <c r="H35" s="70">
        <f>30-F30-F31-F32-F33-F34-F35</f>
        <v>20</v>
      </c>
    </row>
    <row r="36" spans="1:8" ht="15" thickBot="1" x14ac:dyDescent="0.4">
      <c r="A36" s="173" t="s">
        <v>41</v>
      </c>
      <c r="B36" s="174"/>
      <c r="C36" s="174"/>
      <c r="D36" s="174"/>
      <c r="E36" s="174"/>
      <c r="F36" s="174"/>
      <c r="G36" s="175"/>
      <c r="H36" s="89">
        <f ca="1">SUM(H20:H35)</f>
        <v>86.149999999999991</v>
      </c>
    </row>
    <row r="37" spans="1:8" ht="15" outlineLevel="1" thickBot="1" x14ac:dyDescent="0.4">
      <c r="A37" s="181" t="s">
        <v>99</v>
      </c>
      <c r="B37" s="182"/>
      <c r="C37" s="182"/>
      <c r="D37" s="183"/>
      <c r="E37" s="85" t="s">
        <v>27</v>
      </c>
      <c r="F37" s="85" t="s">
        <v>237</v>
      </c>
      <c r="G37" s="86" t="s">
        <v>28</v>
      </c>
      <c r="H37" s="49" t="s">
        <v>234</v>
      </c>
    </row>
    <row r="38" spans="1:8" outlineLevel="1" x14ac:dyDescent="0.35">
      <c r="A38" s="179" t="str">
        <f ca="1">VLOOKUP(1,INDIRECT($C$65),2,0)</f>
        <v>Flugrolle mit Überstrecken mit Anlauf</v>
      </c>
      <c r="B38" s="180"/>
      <c r="C38" s="180"/>
      <c r="D38" s="180"/>
      <c r="E38" s="92">
        <f ca="1">VLOOKUP(1,INDIRECT($C$65),3,0)</f>
        <v>3</v>
      </c>
      <c r="F38" s="79">
        <v>0</v>
      </c>
      <c r="G38" s="80" t="s">
        <v>146</v>
      </c>
      <c r="H38" s="84">
        <f ca="1">IF(E38=" ","",IF(F38="",0,E38-F38))</f>
        <v>3</v>
      </c>
    </row>
    <row r="39" spans="1:8" outlineLevel="1" x14ac:dyDescent="0.35">
      <c r="A39" s="163" t="str">
        <f ca="1">VLOOKUP(2,INDIRECT($C$65),2,0)</f>
        <v>--&gt; Strecksprung, Salto vorwärts gehockt</v>
      </c>
      <c r="B39" s="164"/>
      <c r="C39" s="164"/>
      <c r="D39" s="164"/>
      <c r="E39" s="87">
        <f ca="1">VLOOKUP(2,INDIRECT($C$65),3,0)</f>
        <v>4.5</v>
      </c>
      <c r="F39" s="43">
        <v>0</v>
      </c>
      <c r="G39" s="81" t="s">
        <v>146</v>
      </c>
      <c r="H39" s="84">
        <f t="shared" ref="H39:H49" ca="1" si="1">IF(E39=" ","",IF(F39="",0,E39-F39))</f>
        <v>4.5</v>
      </c>
    </row>
    <row r="40" spans="1:8" outlineLevel="1" x14ac:dyDescent="0.35">
      <c r="A40" s="163" t="str">
        <f ca="1">VLOOKUP(3,INDIRECT($C$65),2,0)</f>
        <v>Vorspreizen, Handstand mit 1/1 Drehung, abrollen</v>
      </c>
      <c r="B40" s="164"/>
      <c r="C40" s="164"/>
      <c r="D40" s="164"/>
      <c r="E40" s="87">
        <f ca="1">VLOOKUP(3,INDIRECT($C$65),3,0)</f>
        <v>3</v>
      </c>
      <c r="F40" s="43">
        <v>0</v>
      </c>
      <c r="G40" s="81" t="s">
        <v>146</v>
      </c>
      <c r="H40" s="84">
        <f t="shared" ca="1" si="1"/>
        <v>3</v>
      </c>
    </row>
    <row r="41" spans="1:8" outlineLevel="1" x14ac:dyDescent="0.35">
      <c r="A41" s="163" t="str">
        <f ca="1">VLOOKUP(4,INDIRECT($C$65),2,0)</f>
        <v>--&gt; Aufstehen mit gestreckten Beinen</v>
      </c>
      <c r="B41" s="164"/>
      <c r="C41" s="164"/>
      <c r="D41" s="164"/>
      <c r="E41" s="87">
        <f ca="1">VLOOKUP(4,INDIRECT($C$65),3,0)</f>
        <v>3</v>
      </c>
      <c r="F41" s="43">
        <v>0</v>
      </c>
      <c r="G41" s="81" t="s">
        <v>146</v>
      </c>
      <c r="H41" s="84">
        <f t="shared" ca="1" si="1"/>
        <v>3</v>
      </c>
    </row>
    <row r="42" spans="1:8" outlineLevel="1" x14ac:dyDescent="0.35">
      <c r="A42" s="163" t="str">
        <f ca="1">VLOOKUP(5,INDIRECT($C$65),2,0)</f>
        <v>Vorspreizen, Bestellschritt, Strecksprung 3/2 Drehung</v>
      </c>
      <c r="B42" s="164"/>
      <c r="C42" s="164"/>
      <c r="D42" s="164"/>
      <c r="E42" s="87">
        <f ca="1">VLOOKUP(5,INDIRECT($C$65),3,0)</f>
        <v>3</v>
      </c>
      <c r="F42" s="43">
        <v>3</v>
      </c>
      <c r="G42" s="81" t="s">
        <v>146</v>
      </c>
      <c r="H42" s="84">
        <f t="shared" ca="1" si="1"/>
        <v>0</v>
      </c>
    </row>
    <row r="43" spans="1:8" outlineLevel="1" x14ac:dyDescent="0.35">
      <c r="A43" s="163" t="str">
        <f ca="1">VLOOKUP(6,INDIRECT($C$65),2,0)</f>
        <v>Salto rückwärts gehockt</v>
      </c>
      <c r="B43" s="164"/>
      <c r="C43" s="164"/>
      <c r="D43" s="164"/>
      <c r="E43" s="87">
        <f ca="1">VLOOKUP(6,INDIRECT($C$65),3,0)</f>
        <v>3</v>
      </c>
      <c r="F43" s="43">
        <v>0.5</v>
      </c>
      <c r="G43" s="81" t="s">
        <v>146</v>
      </c>
      <c r="H43" s="84">
        <f t="shared" ca="1" si="1"/>
        <v>2.5</v>
      </c>
    </row>
    <row r="44" spans="1:8" outlineLevel="1" x14ac:dyDescent="0.35">
      <c r="A44" s="163" t="str">
        <f ca="1">VLOOKUP(7,INDIRECT($C$65),2,0)</f>
        <v>Handstützüberschlag</v>
      </c>
      <c r="B44" s="164"/>
      <c r="C44" s="164"/>
      <c r="D44" s="164"/>
      <c r="E44" s="87">
        <f ca="1">VLOOKUP(7,INDIRECT($C$65),3,0)</f>
        <v>3</v>
      </c>
      <c r="F44" s="43">
        <v>0.5</v>
      </c>
      <c r="G44" s="81" t="s">
        <v>146</v>
      </c>
      <c r="H44" s="84">
        <f t="shared" ca="1" si="1"/>
        <v>2.5</v>
      </c>
    </row>
    <row r="45" spans="1:8" outlineLevel="1" x14ac:dyDescent="0.35">
      <c r="A45" s="163" t="str">
        <f ca="1">VLOOKUP(8,INDIRECT($C$65),2,0)</f>
        <v>--&gt; Ansprung Schrittstellung, Handstand mit zwei Hüpfern</v>
      </c>
      <c r="B45" s="164"/>
      <c r="C45" s="164"/>
      <c r="D45" s="164"/>
      <c r="E45" s="87">
        <f ca="1">VLOOKUP(8,INDIRECT($C$65),3,0)</f>
        <v>3</v>
      </c>
      <c r="F45" s="43">
        <v>0</v>
      </c>
      <c r="G45" s="81" t="s">
        <v>146</v>
      </c>
      <c r="H45" s="84">
        <f t="shared" ca="1" si="1"/>
        <v>3</v>
      </c>
    </row>
    <row r="46" spans="1:8" outlineLevel="1" x14ac:dyDescent="0.35">
      <c r="A46" s="163" t="str">
        <f ca="1">VLOOKUP(9,INDIRECT($C$65),2,0)</f>
        <v>Abrollen --&gt; Strecksprung 1/2 Drehung</v>
      </c>
      <c r="B46" s="164"/>
      <c r="C46" s="164"/>
      <c r="D46" s="164"/>
      <c r="E46" s="87">
        <f ca="1">VLOOKUP(9,INDIRECT($C$65),3,0)</f>
        <v>1.5</v>
      </c>
      <c r="F46" s="43">
        <v>0</v>
      </c>
      <c r="G46" s="81" t="str">
        <f>IF(H2&gt;16,"","Wert - Abzug")</f>
        <v>Wert - Abzug</v>
      </c>
      <c r="H46" s="84">
        <f t="shared" ca="1" si="1"/>
        <v>1.5</v>
      </c>
    </row>
    <row r="47" spans="1:8" outlineLevel="1" x14ac:dyDescent="0.35">
      <c r="A47" s="163" t="str">
        <f ca="1">VLOOKUP(10,INDIRECT($C$65),2,0)</f>
        <v>Salto vorwärts gebückt mit Anlauf</v>
      </c>
      <c r="B47" s="164"/>
      <c r="C47" s="164"/>
      <c r="D47" s="164"/>
      <c r="E47" s="87">
        <f ca="1">VLOOKUP(10,INDIRECT($C$65),3,0)</f>
        <v>3</v>
      </c>
      <c r="F47" s="43">
        <v>0</v>
      </c>
      <c r="G47" s="81" t="str">
        <f>IF(H2&gt;16,"","Wert - Abzug")</f>
        <v>Wert - Abzug</v>
      </c>
      <c r="H47" s="84">
        <f t="shared" ca="1" si="1"/>
        <v>3</v>
      </c>
    </row>
    <row r="48" spans="1:8" outlineLevel="1" x14ac:dyDescent="0.35">
      <c r="A48" s="163" t="str">
        <f ca="1">VLOOKUP(11,INDIRECT($C$65),2,0)</f>
        <v xml:space="preserve"> </v>
      </c>
      <c r="B48" s="164"/>
      <c r="C48" s="164"/>
      <c r="D48" s="164"/>
      <c r="E48" s="87" t="str">
        <f ca="1">VLOOKUP(11,INDIRECT($C$65),3,0)</f>
        <v xml:space="preserve"> </v>
      </c>
      <c r="F48" s="43"/>
      <c r="G48" s="81" t="str">
        <f>IF(H2&gt;13,"","Wert - Abzug")</f>
        <v/>
      </c>
      <c r="H48" s="84" t="str">
        <f t="shared" ca="1" si="1"/>
        <v/>
      </c>
    </row>
    <row r="49" spans="1:8" ht="15" outlineLevel="1" thickBot="1" x14ac:dyDescent="0.4">
      <c r="A49" s="184" t="str">
        <f ca="1">VLOOKUP(12,INDIRECT($C$65),2,0)</f>
        <v xml:space="preserve"> </v>
      </c>
      <c r="B49" s="185"/>
      <c r="C49" s="185"/>
      <c r="D49" s="185"/>
      <c r="E49" s="93" t="str">
        <f ca="1">VLOOKUP(12,INDIRECT($C$65),3,0)</f>
        <v xml:space="preserve"> </v>
      </c>
      <c r="F49" s="82"/>
      <c r="G49" s="83" t="str">
        <f>IF(OR(H2=9,H2=12,H2=13),"Wert - Abzug","")</f>
        <v/>
      </c>
      <c r="H49" s="84" t="str">
        <f t="shared" ca="1" si="1"/>
        <v/>
      </c>
    </row>
    <row r="50" spans="1:8" ht="15" thickBot="1" x14ac:dyDescent="0.4">
      <c r="A50" s="176" t="s">
        <v>98</v>
      </c>
      <c r="B50" s="177"/>
      <c r="C50" s="177"/>
      <c r="D50" s="177"/>
      <c r="E50" s="177"/>
      <c r="F50" s="177"/>
      <c r="G50" s="178"/>
      <c r="H50" s="44">
        <f ca="1">SUM(H38:H49)</f>
        <v>26</v>
      </c>
    </row>
    <row r="51" spans="1:8" ht="16" thickBot="1" x14ac:dyDescent="0.4">
      <c r="A51" s="169" t="s">
        <v>42</v>
      </c>
      <c r="B51" s="170"/>
      <c r="C51" s="170"/>
      <c r="D51" s="170"/>
      <c r="E51" s="170"/>
      <c r="F51" s="170"/>
      <c r="G51" s="170"/>
      <c r="H51" s="94">
        <f ca="1">SUM(H9,H18,H36,H50)</f>
        <v>202.14999999999998</v>
      </c>
    </row>
    <row r="52" spans="1:8" s="23" customFormat="1" x14ac:dyDescent="0.35">
      <c r="D52" s="50"/>
      <c r="E52" s="50"/>
      <c r="F52" s="50"/>
      <c r="G52" s="50"/>
    </row>
    <row r="53" spans="1:8" s="23" customFormat="1" hidden="1" x14ac:dyDescent="0.35">
      <c r="C53" s="24"/>
      <c r="D53" s="50"/>
      <c r="E53" s="50"/>
      <c r="F53" s="50"/>
      <c r="G53" s="50"/>
    </row>
    <row r="54" spans="1:8" s="23" customFormat="1" hidden="1" x14ac:dyDescent="0.35">
      <c r="B54" s="23" t="s">
        <v>249</v>
      </c>
      <c r="C54" s="23" t="str">
        <f>IF(H2&lt;13,"beide",F1)</f>
        <v>weiblich</v>
      </c>
      <c r="D54" s="50"/>
      <c r="E54" s="50"/>
      <c r="F54" s="50"/>
      <c r="G54" s="50"/>
    </row>
    <row r="55" spans="1:8" s="23" customFormat="1" hidden="1" x14ac:dyDescent="0.35">
      <c r="B55" s="23" t="s">
        <v>3</v>
      </c>
      <c r="C55" s="23" t="str">
        <f>IF(OR(H2=8,H2=11),H2,IF(H2&lt;11,"9_10",IF(H2&lt;14,"12_13",IF(H2&lt;16,"14_15",IF(H2&lt;18,"16_17",18)))))</f>
        <v>14_15</v>
      </c>
      <c r="D55" s="50"/>
      <c r="E55" s="50"/>
      <c r="F55" s="50"/>
      <c r="G55" s="50"/>
    </row>
    <row r="56" spans="1:8" s="23" customFormat="1" hidden="1" x14ac:dyDescent="0.35">
      <c r="D56" s="50"/>
      <c r="E56" s="50"/>
      <c r="F56" s="50"/>
      <c r="G56" s="50"/>
    </row>
    <row r="57" spans="1:8" s="23" customFormat="1" hidden="1" x14ac:dyDescent="0.35">
      <c r="B57" s="23" t="s">
        <v>251</v>
      </c>
      <c r="C57" s="23" t="str">
        <f>"TBN_"&amp;C54&amp;"_"&amp;C55</f>
        <v>TBN_weiblich_14_15</v>
      </c>
      <c r="D57" s="50"/>
      <c r="E57" s="50"/>
      <c r="F57" s="50"/>
      <c r="G57" s="50"/>
    </row>
    <row r="58" spans="1:8" s="23" customFormat="1" hidden="1" x14ac:dyDescent="0.35">
      <c r="C58" s="23" t="str">
        <f>C57&amp;"[Beschreibung]"</f>
        <v>TBN_weiblich_14_15[Beschreibung]</v>
      </c>
      <c r="D58" s="50"/>
      <c r="E58" s="50"/>
      <c r="F58" s="50"/>
      <c r="G58" s="50"/>
    </row>
    <row r="59" spans="1:8" s="23" customFormat="1" hidden="1" x14ac:dyDescent="0.35">
      <c r="D59" s="50"/>
      <c r="E59" s="50"/>
      <c r="F59" s="50"/>
      <c r="G59" s="50"/>
    </row>
    <row r="60" spans="1:8" s="23" customFormat="1" hidden="1" x14ac:dyDescent="0.35">
      <c r="B60" s="23" t="s">
        <v>147</v>
      </c>
      <c r="C60" s="23" t="str">
        <f>"TN_"&amp;C54&amp;"_"&amp;C55</f>
        <v>TN_weiblich_14_15</v>
      </c>
      <c r="D60" s="50"/>
      <c r="E60" s="50"/>
      <c r="F60" s="50"/>
      <c r="G60" s="50"/>
    </row>
    <row r="61" spans="1:8" s="23" customFormat="1" hidden="1" x14ac:dyDescent="0.35">
      <c r="C61" s="23" t="str">
        <f>C60&amp;"[Beschreibung]"</f>
        <v>TN_weiblich_14_15[Beschreibung]</v>
      </c>
      <c r="D61" s="50"/>
      <c r="E61" s="50"/>
      <c r="F61" s="50"/>
      <c r="G61" s="50"/>
    </row>
    <row r="62" spans="1:8" s="23" customFormat="1" hidden="1" x14ac:dyDescent="0.35">
      <c r="D62" s="50"/>
      <c r="E62" s="50"/>
      <c r="F62" s="50"/>
      <c r="G62" s="50"/>
    </row>
    <row r="63" spans="1:8" s="23" customFormat="1" hidden="1" x14ac:dyDescent="0.35">
      <c r="B63" s="23" t="s">
        <v>17</v>
      </c>
      <c r="C63" s="23" t="str">
        <f>"TV_"&amp;F1&amp;"_"&amp;C55</f>
        <v>TV_weiblich_14_15</v>
      </c>
      <c r="D63" s="50"/>
      <c r="E63" s="50"/>
      <c r="F63" s="50"/>
      <c r="G63" s="50"/>
    </row>
    <row r="64" spans="1:8" s="23" customFormat="1" hidden="1" x14ac:dyDescent="0.35">
      <c r="D64" s="50"/>
      <c r="E64" s="50"/>
      <c r="F64" s="50"/>
      <c r="G64" s="50"/>
    </row>
    <row r="65" spans="2:7" s="23" customFormat="1" hidden="1" x14ac:dyDescent="0.35">
      <c r="B65" s="23" t="s">
        <v>252</v>
      </c>
      <c r="C65" s="23" t="str">
        <f>"BKÜ"&amp;IF(H2=9,"_9",IF(H2&lt;12,"_10_11",IF(H2&lt;14,"_12_13",IF(H2&lt;17,"_14_16","_17"))))</f>
        <v>BKÜ_14_16</v>
      </c>
      <c r="D65" s="50"/>
      <c r="E65" s="50"/>
      <c r="F65" s="50"/>
      <c r="G65" s="50"/>
    </row>
    <row r="66" spans="2:7" s="23" customFormat="1" hidden="1" x14ac:dyDescent="0.35">
      <c r="D66" s="50"/>
      <c r="E66" s="50"/>
      <c r="F66" s="50"/>
      <c r="G66" s="50"/>
    </row>
    <row r="67" spans="2:7" s="23" customFormat="1" hidden="1" x14ac:dyDescent="0.35">
      <c r="B67" s="23" t="s">
        <v>250</v>
      </c>
      <c r="C67" s="23" t="str">
        <f>IF(H2&lt;17,"beide",F1)</f>
        <v>beide</v>
      </c>
      <c r="D67" s="50"/>
      <c r="E67" s="50"/>
      <c r="F67" s="50"/>
      <c r="G67" s="50"/>
    </row>
    <row r="68" spans="2:7" s="23" customFormat="1" hidden="1" x14ac:dyDescent="0.35">
      <c r="B68" s="23" t="s">
        <v>17</v>
      </c>
      <c r="C68" s="23" t="str">
        <f>"TV_"&amp;C67&amp;"_"&amp;C55</f>
        <v>TV_beide_14_15</v>
      </c>
      <c r="D68" s="50"/>
      <c r="E68" s="50"/>
      <c r="F68" s="50"/>
      <c r="G68" s="50"/>
    </row>
    <row r="69" spans="2:7" x14ac:dyDescent="0.35"/>
    <row r="70" spans="2:7" x14ac:dyDescent="0.35"/>
  </sheetData>
  <sheetProtection algorithmName="SHA-512" hashValue="VqseUAscRb8zXHIQgDq3YOCydOm4Ky8IzejOBqgTtEoK4ejRZssS9oP2pzJwESCMsw73cbjfnKquTSlAYbZLsA==" saltValue="boP5t2vSoJphIq6kEkwSew==" spinCount="100000" sheet="1" objects="1" scenarios="1" selectLockedCells="1"/>
  <protectedRanges>
    <protectedRange sqref="H1:H2 F1:F2 B1:B2" name="Athletendaten"/>
    <protectedRange sqref="F38:F49 C20:F35 D69:E440 C69:C441 F4:F8 C38:E68 C11:E16 F11:F17" name="Werte und Varianten"/>
    <protectedRange algorithmName="SHA-512" hashValue="EtPG7jm6pk6JVG08ToKZL4Sto4PS6TOUsygvFmj6DTfcGnX6DwKdfjTEg/2X1Hwnu/CwfNhBUSnXKs/oLqcupQ==" saltValue="sPse4fdTsI5OFESYvRIl8Q==" spinCount="100000" sqref="H4:H8 H38:H49 H20:H35 H11:H17" name="Punktzahlen"/>
  </protectedRanges>
  <mergeCells count="44">
    <mergeCell ref="A50:G50"/>
    <mergeCell ref="A51:G51"/>
    <mergeCell ref="A44:D44"/>
    <mergeCell ref="A45:D45"/>
    <mergeCell ref="A46:D46"/>
    <mergeCell ref="A47:D47"/>
    <mergeCell ref="A48:D48"/>
    <mergeCell ref="A49:D49"/>
    <mergeCell ref="A43:D43"/>
    <mergeCell ref="A32:B32"/>
    <mergeCell ref="A33:B33"/>
    <mergeCell ref="A34:B34"/>
    <mergeCell ref="A35:B35"/>
    <mergeCell ref="A36:G36"/>
    <mergeCell ref="A37:D37"/>
    <mergeCell ref="A38:D38"/>
    <mergeCell ref="A39:D39"/>
    <mergeCell ref="A40:D40"/>
    <mergeCell ref="A41:D41"/>
    <mergeCell ref="A42:D42"/>
    <mergeCell ref="A31:B31"/>
    <mergeCell ref="A13:E13"/>
    <mergeCell ref="A14:E14"/>
    <mergeCell ref="A15:E15"/>
    <mergeCell ref="A16:E16"/>
    <mergeCell ref="A18:G18"/>
    <mergeCell ref="A19:C19"/>
    <mergeCell ref="A20:B20"/>
    <mergeCell ref="A21:B21"/>
    <mergeCell ref="A22:B22"/>
    <mergeCell ref="A23:B23"/>
    <mergeCell ref="A30:B30"/>
    <mergeCell ref="A12:E12"/>
    <mergeCell ref="B1:E1"/>
    <mergeCell ref="B2:F2"/>
    <mergeCell ref="A3:E3"/>
    <mergeCell ref="A4:E4"/>
    <mergeCell ref="A5:E5"/>
    <mergeCell ref="A6:E6"/>
    <mergeCell ref="A7:E7"/>
    <mergeCell ref="A8:E8"/>
    <mergeCell ref="A9:G9"/>
    <mergeCell ref="A10:E10"/>
    <mergeCell ref="A11:E11"/>
  </mergeCells>
  <conditionalFormatting sqref="F46:F49">
    <cfRule type="expression" dxfId="203" priority="3">
      <formula>$A46=" "</formula>
    </cfRule>
  </conditionalFormatting>
  <conditionalFormatting sqref="B24:B29 C21:E29">
    <cfRule type="expression" dxfId="202" priority="2">
      <formula>$A21="entfällt"</formula>
    </cfRule>
    <cfRule type="expression" dxfId="201" priority="4">
      <formula>$H$2&gt;14</formula>
    </cfRule>
  </conditionalFormatting>
  <conditionalFormatting sqref="B24:B29">
    <cfRule type="expression" dxfId="200" priority="1">
      <formula>AND($A24="TN",$C24&lt;&gt;"")</formula>
    </cfRule>
  </conditionalFormatting>
  <dataValidations count="19">
    <dataValidation type="decimal" errorStyle="warning" allowBlank="1" showInputMessage="1" showErrorMessage="1" error="Eingegebener Abzug überschreitet maximal zulässigen Abzug, Wert bitte überprüfen!" sqref="F21:F35" xr:uid="{DA311FC1-CBC2-482F-B346-A96E95521B30}">
      <formula1>0</formula1>
      <formula2>$E21</formula2>
    </dataValidation>
    <dataValidation type="list" allowBlank="1" showInputMessage="1" showErrorMessage="1" sqref="C20" xr:uid="{740B2345-99B0-4E3C-9DD4-D7CB7A37BF33}">
      <formula1>"Lichtschranke,Druckmessplatte"</formula1>
    </dataValidation>
    <dataValidation type="whole" allowBlank="1" showInputMessage="1" showErrorMessage="1" errorTitle="Falsche Eingabe" error="Bitte Wert prüfen" sqref="D17" xr:uid="{E05B7E98-8648-41A3-AAA5-3ABBEB1D5975}">
      <formula1>1</formula1>
      <formula2>13</formula2>
    </dataValidation>
    <dataValidation type="list" allowBlank="1" showInputMessage="1" sqref="C24:C29" xr:uid="{5DF09240-B875-44FB-9B06-CCBF5A210B5C}">
      <formula1>INDIRECT($C$61)</formula1>
    </dataValidation>
    <dataValidation type="list" allowBlank="1" showInputMessage="1" sqref="C21:C23" xr:uid="{A3AA14D7-8E9C-4BC7-BD3D-E4DB99C23377}">
      <formula1>INDIRECT($C$58)</formula1>
    </dataValidation>
    <dataValidation allowBlank="1" showInputMessage="1" showErrorMessage="1" prompt="Anzahl der Wiederholungen" sqref="F11" xr:uid="{AA167179-E8C2-464E-A2D6-C66E91AEC5B9}"/>
    <dataValidation type="whole" allowBlank="1" showInputMessage="1" showErrorMessage="1" prompt="Abstand von der Oberkante des Turnhockers zur schlechtesten Fingerspitze in cm" sqref="F6" xr:uid="{1E14EB93-27C2-484F-B792-17C49BC0D3E7}">
      <formula1>-50</formula1>
      <formula2>50</formula2>
    </dataValidation>
    <dataValidation type="list" allowBlank="1" showInputMessage="1" showErrorMessage="1" prompt="Punktzahl nach Vergleich mit Bild" sqref="F5" xr:uid="{C3FEBD9D-56D7-4ABA-910C-ECA1DDCCF875}">
      <formula1>"0,2,6,10"</formula1>
    </dataValidation>
    <dataValidation type="whole" allowBlank="1" showErrorMessage="1" errorTitle="Falsche Eingabe" error="Bitte Wert prüfen" prompt="Höchste erreichte Stufe" sqref="F17" xr:uid="{87AF4299-00C1-4028-AAD1-18EC2681541C}">
      <formula1>1</formula1>
      <formula2>11</formula2>
    </dataValidation>
    <dataValidation allowBlank="1" sqref="D20:E20" xr:uid="{47702C92-3841-4113-A58A-69F2860E46B9}"/>
    <dataValidation type="decimal" errorStyle="warning" allowBlank="1" showInputMessage="1" showErrorMessage="1" error="Abzug höher als Wert des Elements, bitte überprüfen!" prompt="Abzug" sqref="F38:F49" xr:uid="{39228203-F49C-48DE-822E-7BE0A8F71723}">
      <formula1>0</formula1>
      <formula2>$E38</formula2>
    </dataValidation>
    <dataValidation type="whole" allowBlank="1" showInputMessage="1" showErrorMessage="1" prompt="AKs 9 - 13: Übersprungene Kästchen_x000a__x000a_AKs 14 - 21: Anzahl Saltos" sqref="F15" xr:uid="{9A256506-597A-4D25-9394-99F79A9BE642}">
      <formula1>0</formula1>
      <formula2>50</formula2>
    </dataValidation>
    <dataValidation type="list" allowBlank="1" showInputMessage="1" showErrorMessage="1" sqref="F1" xr:uid="{E571A87D-41BF-41F3-9CC1-9650994F6FC3}">
      <formula1>"männlich,weiblich"</formula1>
    </dataValidation>
    <dataValidation type="whole" allowBlank="1" showInputMessage="1" showErrorMessage="1" sqref="H4:H8" xr:uid="{ECB85474-9645-4D82-9675-E847385A43D8}">
      <formula1>0</formula1>
      <formula2>10</formula2>
    </dataValidation>
    <dataValidation type="whole" allowBlank="1" showInputMessage="1" showErrorMessage="1" prompt="Haltezeit in Sekunden" sqref="F13" xr:uid="{ED08D711-2321-4BB3-8943-76208376616D}">
      <formula1>0</formula1>
      <formula2>200</formula2>
    </dataValidation>
    <dataValidation type="whole" allowBlank="1" showInputMessage="1" showErrorMessage="1" prompt="Haltezeit in Sekunden" sqref="F16" xr:uid="{A8ECA8EC-E8B6-4E30-8CA4-50B41A2958E9}">
      <formula1>0</formula1>
      <formula2>100</formula2>
    </dataValidation>
    <dataValidation type="whole" allowBlank="1" showInputMessage="1" showErrorMessage="1" prompt="Anzahl der Wiederholungen" sqref="F14 F12" xr:uid="{B13413E7-209F-46BF-AF91-3CEDA3754087}">
      <formula1>0</formula1>
      <formula2>50</formula2>
    </dataValidation>
    <dataValidation type="list" operator="equal" allowBlank="1" showInputMessage="1" showErrorMessage="1" prompt="Punktzahl nach Vergleich mit Bild" sqref="F4" xr:uid="{F2B55190-81E6-4D69-A73C-49153E133FB1}">
      <formula1>"0,2,6,10"</formula1>
    </dataValidation>
    <dataValidation type="decimal" errorStyle="warning" showDropDown="1" showErrorMessage="1" error="Wert unrealistisch hoch, bitte Eingabe überprüfen" promptTitle="Vorsicht" sqref="F20" xr:uid="{C346FAA3-648F-4AC2-9E60-F4F865AC25D8}">
      <formula1>0</formula1>
      <formula2>30</formula2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Bitte Werte aus Dropdown auswählen" prompt="Abstand vom Boden laut Schablone" xr:uid="{ACFDBF7C-E30D-4479-A942-55450FAF6300}">
          <x14:formula1>
            <xm:f>Punktetabellen!$A$3:$A$6</xm:f>
          </x14:formula1>
          <xm:sqref>F7:F8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tabColor theme="7" tint="0.39997558519241921"/>
  </sheetPr>
  <dimension ref="A1:AM37"/>
  <sheetViews>
    <sheetView zoomScaleNormal="100" workbookViewId="0">
      <pane xSplit="2" ySplit="1" topLeftCell="C10" activePane="bottomRight" state="frozen"/>
      <selection activeCell="B2" sqref="B2"/>
      <selection pane="topRight" activeCell="B2" sqref="B2"/>
      <selection pane="bottomLeft" activeCell="B2" sqref="B2"/>
      <selection pane="bottomRight" activeCell="AG16" sqref="AG16"/>
    </sheetView>
  </sheetViews>
  <sheetFormatPr baseColWidth="10" defaultRowHeight="14.5" outlineLevelCol="2" x14ac:dyDescent="0.35"/>
  <cols>
    <col min="1" max="1" width="5.26953125" style="65" bestFit="1" customWidth="1"/>
    <col min="2" max="2" width="25.7265625" customWidth="1"/>
    <col min="3" max="3" width="5.7265625" customWidth="1"/>
    <col min="4" max="4" width="6.453125" customWidth="1"/>
    <col min="5" max="5" width="18.54296875" customWidth="1"/>
    <col min="6" max="10" width="8.54296875" style="98" hidden="1" customWidth="1" outlineLevel="2"/>
    <col min="11" max="11" width="15.81640625" style="98" customWidth="1" outlineLevel="1" collapsed="1"/>
    <col min="12" max="18" width="8.54296875" style="98" hidden="1" customWidth="1" outlineLevel="2"/>
    <col min="19" max="19" width="17.1796875" style="98" customWidth="1" outlineLevel="1" collapsed="1"/>
    <col min="20" max="20" width="8.54296875" style="101" hidden="1" customWidth="1" outlineLevel="2"/>
    <col min="21" max="30" width="8.54296875" style="98" hidden="1" customWidth="1" outlineLevel="2"/>
    <col min="31" max="31" width="12.26953125" style="101" customWidth="1" outlineLevel="1" collapsed="1"/>
    <col min="32" max="32" width="12" style="104" customWidth="1" outlineLevel="1"/>
    <col min="33" max="33" width="16.453125" style="105" bestFit="1" customWidth="1"/>
    <col min="35" max="35" width="12.7265625" customWidth="1"/>
  </cols>
  <sheetData>
    <row r="1" spans="1:35" s="99" customFormat="1" ht="5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95" t="s">
        <v>5</v>
      </c>
      <c r="G1" s="95" t="s">
        <v>6</v>
      </c>
      <c r="H1" s="95" t="s">
        <v>7</v>
      </c>
      <c r="I1" s="95" t="s">
        <v>8</v>
      </c>
      <c r="J1" s="95" t="s">
        <v>9</v>
      </c>
      <c r="K1" s="95" t="s">
        <v>10</v>
      </c>
      <c r="L1" s="96" t="s">
        <v>11</v>
      </c>
      <c r="M1" s="96" t="s">
        <v>12</v>
      </c>
      <c r="N1" s="96" t="s">
        <v>221</v>
      </c>
      <c r="O1" s="96" t="s">
        <v>13</v>
      </c>
      <c r="P1" s="96" t="s">
        <v>222</v>
      </c>
      <c r="Q1" s="96" t="s">
        <v>14</v>
      </c>
      <c r="R1" s="96" t="s">
        <v>223</v>
      </c>
      <c r="S1" s="96" t="s">
        <v>16</v>
      </c>
      <c r="T1" s="100" t="s">
        <v>15</v>
      </c>
      <c r="U1" s="97" t="s">
        <v>18</v>
      </c>
      <c r="V1" s="97" t="s">
        <v>19</v>
      </c>
      <c r="W1" s="97" t="s">
        <v>20</v>
      </c>
      <c r="X1" s="97" t="s">
        <v>224</v>
      </c>
      <c r="Y1" s="97" t="s">
        <v>225</v>
      </c>
      <c r="Z1" s="97" t="s">
        <v>226</v>
      </c>
      <c r="AA1" s="97" t="s">
        <v>227</v>
      </c>
      <c r="AB1" s="97" t="s">
        <v>228</v>
      </c>
      <c r="AC1" s="97" t="s">
        <v>229</v>
      </c>
      <c r="AD1" s="97" t="s">
        <v>17</v>
      </c>
      <c r="AE1" s="100" t="s">
        <v>21</v>
      </c>
      <c r="AF1" s="103" t="s">
        <v>230</v>
      </c>
      <c r="AG1" s="102" t="s">
        <v>22</v>
      </c>
      <c r="AH1" s="138" t="s">
        <v>339</v>
      </c>
      <c r="AI1" s="158" t="s">
        <v>426</v>
      </c>
    </row>
    <row r="2" spans="1:35" x14ac:dyDescent="0.35">
      <c r="A2" s="65">
        <v>1</v>
      </c>
      <c r="B2" s="11" t="s">
        <v>356</v>
      </c>
      <c r="C2">
        <f>(SteinbrennerGreta!$H$1)</f>
        <v>2009</v>
      </c>
      <c r="D2">
        <f>(SteinbrennerGreta!$H$2)</f>
        <v>13</v>
      </c>
      <c r="E2" t="s">
        <v>384</v>
      </c>
      <c r="F2" s="98">
        <f>(SteinbrennerGreta!$H$4)</f>
        <v>10</v>
      </c>
      <c r="G2" s="98">
        <f>(SteinbrennerGreta!$H$5)</f>
        <v>10</v>
      </c>
      <c r="H2" s="98">
        <f>(SteinbrennerGreta!$H$6)</f>
        <v>10</v>
      </c>
      <c r="I2" s="98">
        <f>(SteinbrennerGreta!$H$7)</f>
        <v>5</v>
      </c>
      <c r="J2" s="98">
        <f>(SteinbrennerGreta!$H$8)</f>
        <v>5</v>
      </c>
      <c r="K2" s="98">
        <f>(SteinbrennerGreta!$H$9)</f>
        <v>40</v>
      </c>
      <c r="L2" s="98">
        <f>(SteinbrennerGreta!$H$11)</f>
        <v>10</v>
      </c>
      <c r="M2" s="98">
        <f>(SteinbrennerGreta!$H$12)</f>
        <v>10</v>
      </c>
      <c r="N2" s="98">
        <f>(SteinbrennerGreta!$H$13)</f>
        <v>10</v>
      </c>
      <c r="O2" s="98">
        <f>(SteinbrennerGreta!$H$14)</f>
        <v>10</v>
      </c>
      <c r="P2" s="98">
        <f>(SteinbrennerGreta!$H$15)</f>
        <v>9</v>
      </c>
      <c r="Q2" s="98">
        <f>(SteinbrennerGreta!$H$16)</f>
        <v>10</v>
      </c>
      <c r="R2" s="98">
        <f>(SteinbrennerGreta!$H$17)</f>
        <v>10</v>
      </c>
      <c r="S2" s="98">
        <f>(SteinbrennerGreta!$H$18)</f>
        <v>69</v>
      </c>
      <c r="T2" s="101">
        <f>(SteinbrennerGreta!$H$20)</f>
        <v>11.749999999999989</v>
      </c>
      <c r="U2" s="98">
        <f>(SteinbrennerGreta!$H$21)</f>
        <v>10</v>
      </c>
      <c r="V2" s="98">
        <f>(SteinbrennerGreta!$H$22)</f>
        <v>9</v>
      </c>
      <c r="W2" s="98">
        <f>(SteinbrennerGreta!$H$23)</f>
        <v>0</v>
      </c>
      <c r="X2" s="98">
        <f>(SteinbrennerGreta!$H$24)</f>
        <v>10</v>
      </c>
      <c r="Y2" s="98">
        <f>(SteinbrennerGreta!$H$25)</f>
        <v>9</v>
      </c>
      <c r="Z2" s="98">
        <f>(SteinbrennerGreta!$H$26)</f>
        <v>11</v>
      </c>
      <c r="AA2" s="98">
        <f>(SteinbrennerGreta!$H$27)</f>
        <v>11</v>
      </c>
      <c r="AB2" s="98">
        <f>(SteinbrennerGreta!$H$28)</f>
        <v>0</v>
      </c>
      <c r="AC2" s="98">
        <f>(SteinbrennerGreta!$H$29)</f>
        <v>0</v>
      </c>
      <c r="AD2" s="98">
        <f>(SteinbrennerGreta!$H$35)</f>
        <v>19</v>
      </c>
      <c r="AE2" s="101">
        <f>(SteinbrennerGreta!$H$36)</f>
        <v>90.749999999999986</v>
      </c>
      <c r="AF2" s="104">
        <f ca="1">(SteinbrennerGreta!$H$50)</f>
        <v>24</v>
      </c>
      <c r="AG2" s="105">
        <f ca="1">(SteinbrennerGreta!$H$51)</f>
        <v>223.75</v>
      </c>
      <c r="AH2" s="137">
        <f t="shared" ref="AH2:AH20" ca="1" si="0">K2+S2+AF2</f>
        <v>133</v>
      </c>
      <c r="AI2" s="150" t="s">
        <v>385</v>
      </c>
    </row>
    <row r="3" spans="1:35" x14ac:dyDescent="0.35">
      <c r="A3" s="144">
        <v>2</v>
      </c>
      <c r="B3" s="11" t="s">
        <v>357</v>
      </c>
      <c r="C3">
        <f>(XingHohmannThea!$H$1)</f>
        <v>2009</v>
      </c>
      <c r="D3">
        <f>(XingHohmannThea!$H$2)</f>
        <v>13</v>
      </c>
      <c r="E3" t="str">
        <f>(XingHohmannThea!$B$2)</f>
        <v>TT Niedernhausen</v>
      </c>
      <c r="F3" s="98">
        <f>(XingHohmannThea!$H$4)</f>
        <v>10</v>
      </c>
      <c r="G3" s="98">
        <f>(XingHohmannThea!$H$5)</f>
        <v>10</v>
      </c>
      <c r="H3" s="98">
        <f>(XingHohmannThea!$H$6)</f>
        <v>10</v>
      </c>
      <c r="I3" s="98">
        <f>(XingHohmannThea!$H$7)</f>
        <v>5</v>
      </c>
      <c r="J3" s="98">
        <f>(XingHohmannThea!$H$8)</f>
        <v>5</v>
      </c>
      <c r="K3" s="98">
        <f>(XingHohmannThea!$H$9)</f>
        <v>40</v>
      </c>
      <c r="L3" s="98">
        <f>(XingHohmannThea!$H$11)</f>
        <v>6</v>
      </c>
      <c r="M3" s="98">
        <f>(XingHohmannThea!$H$12)</f>
        <v>10</v>
      </c>
      <c r="N3" s="98">
        <f>(XingHohmannThea!$H$13)</f>
        <v>10</v>
      </c>
      <c r="O3" s="98">
        <f>(XingHohmannThea!$H$14)</f>
        <v>10</v>
      </c>
      <c r="P3" s="98">
        <f>(XingHohmannThea!$H$15)</f>
        <v>8</v>
      </c>
      <c r="Q3" s="98">
        <f>(XingHohmannThea!$H$16)</f>
        <v>10</v>
      </c>
      <c r="R3" s="98">
        <f>(XingHohmannThea!$H$17)</f>
        <v>9</v>
      </c>
      <c r="S3" s="98">
        <f>(XingHohmannThea!$H$18)</f>
        <v>63</v>
      </c>
      <c r="T3" s="101">
        <f>(XingHohmannThea!$H$20)</f>
        <v>17.999999999999989</v>
      </c>
      <c r="U3" s="98">
        <f>(XingHohmannThea!$H$21)</f>
        <v>6</v>
      </c>
      <c r="V3" s="98">
        <f>(XingHohmannThea!$H$22)</f>
        <v>8</v>
      </c>
      <c r="W3" s="98">
        <f>(XingHohmannThea!$H$23)</f>
        <v>0</v>
      </c>
      <c r="X3" s="98">
        <f>(XingHohmannThea!$H$24)</f>
        <v>9</v>
      </c>
      <c r="Y3" s="98">
        <f>(XingHohmannThea!$H$25)</f>
        <v>11</v>
      </c>
      <c r="Z3" s="98">
        <f>(XingHohmannThea!$H$26)</f>
        <v>8</v>
      </c>
      <c r="AA3" s="98">
        <f>(XingHohmannThea!$H$27)</f>
        <v>11</v>
      </c>
      <c r="AB3" s="98">
        <f>(XingHohmannThea!$H$28)</f>
        <v>0</v>
      </c>
      <c r="AC3" s="98">
        <f>(XingHohmannThea!$H$29)</f>
        <v>0</v>
      </c>
      <c r="AD3" s="98">
        <f>(XingHohmannThea!$H$35)</f>
        <v>15</v>
      </c>
      <c r="AE3" s="101">
        <f>(XingHohmannThea!$H$36)</f>
        <v>85.999999999999986</v>
      </c>
      <c r="AF3" s="104">
        <f ca="1">(XingHohmannThea!$H$50)</f>
        <v>24</v>
      </c>
      <c r="AG3" s="105">
        <f ca="1">(XingHohmannThea!$H$51)</f>
        <v>213</v>
      </c>
      <c r="AH3" s="137">
        <f t="shared" ca="1" si="0"/>
        <v>127</v>
      </c>
      <c r="AI3" s="150" t="s">
        <v>385</v>
      </c>
    </row>
    <row r="4" spans="1:35" x14ac:dyDescent="0.35">
      <c r="A4" s="156">
        <v>3</v>
      </c>
      <c r="B4" s="11" t="s">
        <v>367</v>
      </c>
      <c r="C4">
        <f>(EislöffelAurelia!$H$1)</f>
        <v>2006</v>
      </c>
      <c r="D4">
        <f>(EislöffelAurelia!$H$2)</f>
        <v>16</v>
      </c>
      <c r="E4" t="str">
        <f>(EislöffelAurelia!$B$2)</f>
        <v>MTV Bad Kreuznach</v>
      </c>
      <c r="F4" s="98">
        <f>(EislöffelAurelia!$H$4)</f>
        <v>10</v>
      </c>
      <c r="G4" s="98">
        <f>(EislöffelAurelia!$H$5)</f>
        <v>10</v>
      </c>
      <c r="H4" s="98">
        <f>(EislöffelAurelia!$H$6)</f>
        <v>8</v>
      </c>
      <c r="I4" s="98">
        <f>(EislöffelAurelia!$H$7)</f>
        <v>5</v>
      </c>
      <c r="J4" s="98">
        <f>(EislöffelAurelia!$H$8)</f>
        <v>5</v>
      </c>
      <c r="K4" s="98">
        <f>(EislöffelAurelia!$H$9)</f>
        <v>38</v>
      </c>
      <c r="L4" s="98">
        <f>(EislöffelAurelia!$H$11)</f>
        <v>7</v>
      </c>
      <c r="M4" s="98">
        <f>(EislöffelAurelia!$H$12)</f>
        <v>1</v>
      </c>
      <c r="N4" s="98">
        <f>(EislöffelAurelia!$H$13)</f>
        <v>10</v>
      </c>
      <c r="O4" s="98">
        <f>(EislöffelAurelia!$H$14)</f>
        <v>10</v>
      </c>
      <c r="P4" s="98">
        <f>(EislöffelAurelia!$H$15)</f>
        <v>10</v>
      </c>
      <c r="Q4" s="98">
        <f>(EislöffelAurelia!$H$16)</f>
        <v>10</v>
      </c>
      <c r="R4" s="98">
        <f>(EislöffelAurelia!$H$17)</f>
        <v>10</v>
      </c>
      <c r="S4" s="98">
        <f>(EislöffelAurelia!$H$18)</f>
        <v>58</v>
      </c>
      <c r="T4" s="101">
        <f>(EislöffelAurelia!$H$20)</f>
        <v>9.399999999999995</v>
      </c>
      <c r="U4" s="98">
        <f>(EislöffelAurelia!$H$21)</f>
        <v>0</v>
      </c>
      <c r="V4" s="98">
        <f>(EislöffelAurelia!$H$22)</f>
        <v>0</v>
      </c>
      <c r="W4" s="98">
        <f>(EislöffelAurelia!$H$23)</f>
        <v>0</v>
      </c>
      <c r="X4" s="98">
        <f>(EislöffelAurelia!$H$24)</f>
        <v>15</v>
      </c>
      <c r="Y4" s="98">
        <f>(EislöffelAurelia!$H$25)</f>
        <v>10</v>
      </c>
      <c r="Z4" s="98">
        <f>(EislöffelAurelia!$H$26)</f>
        <v>10</v>
      </c>
      <c r="AA4" s="98">
        <f>(EislöffelAurelia!$H$27)</f>
        <v>13</v>
      </c>
      <c r="AB4" s="98">
        <f>(EislöffelAurelia!$H$28)</f>
        <v>11</v>
      </c>
      <c r="AC4" s="98">
        <f>(EislöffelAurelia!$H$29)</f>
        <v>13</v>
      </c>
      <c r="AD4" s="98">
        <f>(EislöffelAurelia!$H$35)</f>
        <v>20</v>
      </c>
      <c r="AE4" s="101">
        <f>(EislöffelAurelia!$H$36)</f>
        <v>101.39999999999999</v>
      </c>
      <c r="AF4" s="104">
        <f ca="1">(EislöffelAurelia!$H$50)</f>
        <v>29</v>
      </c>
      <c r="AG4" s="105">
        <f ca="1">(EislöffelAurelia!$H$51)</f>
        <v>226.39999999999998</v>
      </c>
      <c r="AH4" s="137">
        <f t="shared" ca="1" si="0"/>
        <v>125</v>
      </c>
      <c r="AI4" s="150" t="s">
        <v>385</v>
      </c>
    </row>
    <row r="5" spans="1:35" x14ac:dyDescent="0.35">
      <c r="A5" s="156">
        <v>4</v>
      </c>
      <c r="B5" s="11" t="s">
        <v>363</v>
      </c>
      <c r="C5">
        <f>(HeringPauline!$H$1)</f>
        <v>2008</v>
      </c>
      <c r="D5">
        <f>(HeringPauline!$H$2)</f>
        <v>14</v>
      </c>
      <c r="E5" t="str">
        <f>(HeringPauline!$B$2)</f>
        <v>Munich-Airriders</v>
      </c>
      <c r="F5" s="98">
        <f>(HeringPauline!$H$4)</f>
        <v>10</v>
      </c>
      <c r="G5" s="98">
        <f>(HeringPauline!$H$5)</f>
        <v>10</v>
      </c>
      <c r="H5" s="98">
        <f>(HeringPauline!$H$6)</f>
        <v>10</v>
      </c>
      <c r="I5" s="98">
        <f>(HeringPauline!$H$7)</f>
        <v>5</v>
      </c>
      <c r="J5" s="98">
        <f>(HeringPauline!$H$8)</f>
        <v>5</v>
      </c>
      <c r="K5" s="98">
        <f>(HeringPauline!$H$9)</f>
        <v>40</v>
      </c>
      <c r="L5" s="98">
        <f>(HeringPauline!$H$11)</f>
        <v>8</v>
      </c>
      <c r="M5" s="98">
        <f>(HeringPauline!$H$12)</f>
        <v>4</v>
      </c>
      <c r="N5" s="98">
        <f>(HeringPauline!$H$13)</f>
        <v>9</v>
      </c>
      <c r="O5" s="98">
        <f>(HeringPauline!$H$14)</f>
        <v>10</v>
      </c>
      <c r="P5" s="98">
        <f>(HeringPauline!$H$15)</f>
        <v>10</v>
      </c>
      <c r="Q5" s="98">
        <f>(HeringPauline!$H$16)</f>
        <v>10</v>
      </c>
      <c r="R5" s="98">
        <f>(HeringPauline!$H$17)</f>
        <v>7</v>
      </c>
      <c r="S5" s="98">
        <f>(HeringPauline!$H$18)</f>
        <v>58</v>
      </c>
      <c r="T5" s="101">
        <f>(HeringPauline!$H$20)</f>
        <v>0.15000000000000568</v>
      </c>
      <c r="U5" s="98">
        <f>(HeringPauline!$H$21)</f>
        <v>7</v>
      </c>
      <c r="V5" s="98">
        <f ca="1">(HeringPauline!$H$22)</f>
        <v>4</v>
      </c>
      <c r="W5" s="98">
        <f>(HeringPauline!$H$23)</f>
        <v>0</v>
      </c>
      <c r="X5" s="98">
        <f>(HeringPauline!$H$24)</f>
        <v>0</v>
      </c>
      <c r="Y5" s="98">
        <f>(HeringPauline!$H$25)</f>
        <v>0</v>
      </c>
      <c r="Z5" s="98">
        <f>(HeringPauline!$H$26)</f>
        <v>0</v>
      </c>
      <c r="AA5" s="98">
        <f>(HeringPauline!$H$27)</f>
        <v>0</v>
      </c>
      <c r="AB5" s="98">
        <f>(HeringPauline!$H$28)</f>
        <v>0</v>
      </c>
      <c r="AC5" s="98">
        <f>(HeringPauline!$H$29)</f>
        <v>0</v>
      </c>
      <c r="AD5" s="98">
        <f>(HeringPauline!$H$35)</f>
        <v>15</v>
      </c>
      <c r="AE5" s="153">
        <f ca="1">(HeringPauline!$H$36)</f>
        <v>26.150000000000006</v>
      </c>
      <c r="AF5" s="104">
        <f ca="1">(HeringPauline!$H$50)</f>
        <v>25</v>
      </c>
      <c r="AG5" s="105">
        <f ca="1">(HeringPauline!$H$51)</f>
        <v>149.15</v>
      </c>
      <c r="AH5" s="137">
        <f t="shared" ca="1" si="0"/>
        <v>123</v>
      </c>
      <c r="AI5" s="150" t="s">
        <v>385</v>
      </c>
    </row>
    <row r="6" spans="1:35" x14ac:dyDescent="0.35">
      <c r="A6" s="156">
        <v>5</v>
      </c>
      <c r="B6" s="11" t="s">
        <v>404</v>
      </c>
      <c r="C6">
        <f>(RamacheMarrit!$H$1)</f>
        <v>2006</v>
      </c>
      <c r="D6">
        <f>(RamacheMarrit!$H$2)</f>
        <v>16</v>
      </c>
      <c r="E6" t="str">
        <f>(RamacheMarrit!$B$2)</f>
        <v>MTV Vorsfelde</v>
      </c>
      <c r="F6" s="98">
        <f>(RamacheMarrit!$H$4)</f>
        <v>10</v>
      </c>
      <c r="G6" s="98">
        <f>(RamacheMarrit!$H$5)</f>
        <v>10</v>
      </c>
      <c r="H6" s="98">
        <f>(RamacheMarrit!$H$6)</f>
        <v>10</v>
      </c>
      <c r="I6" s="98">
        <f>(RamacheMarrit!$H$7)</f>
        <v>5</v>
      </c>
      <c r="J6" s="98">
        <f>(RamacheMarrit!$H$8)</f>
        <v>5</v>
      </c>
      <c r="K6" s="98">
        <f>(RamacheMarrit!$H$9)</f>
        <v>40</v>
      </c>
      <c r="L6" s="98">
        <f>(RamacheMarrit!$H$11)</f>
        <v>4</v>
      </c>
      <c r="M6" s="98">
        <f>(RamacheMarrit!$H$12)</f>
        <v>2</v>
      </c>
      <c r="N6" s="98">
        <f>(RamacheMarrit!$H$13)</f>
        <v>10</v>
      </c>
      <c r="O6" s="98">
        <f>(RamacheMarrit!$H$14)</f>
        <v>10</v>
      </c>
      <c r="P6" s="98">
        <f>(RamacheMarrit!$H$15)</f>
        <v>9</v>
      </c>
      <c r="Q6" s="98">
        <f>(RamacheMarrit!$H$16)</f>
        <v>10</v>
      </c>
      <c r="R6" s="98">
        <f>(RamacheMarrit!$H$17)</f>
        <v>10</v>
      </c>
      <c r="S6" s="98">
        <f>(RamacheMarrit!$H$18)</f>
        <v>55</v>
      </c>
      <c r="T6" s="101">
        <f>(RamacheMarrit!$H$20)</f>
        <v>10.050000000000008</v>
      </c>
      <c r="U6" s="98">
        <f>(RamacheMarrit!$H$21)</f>
        <v>0</v>
      </c>
      <c r="V6" s="98">
        <f>(RamacheMarrit!$H$22)</f>
        <v>0</v>
      </c>
      <c r="W6" s="98">
        <f>(RamacheMarrit!$H$23)</f>
        <v>0</v>
      </c>
      <c r="X6" s="98">
        <f>(RamacheMarrit!$H$24)</f>
        <v>13</v>
      </c>
      <c r="Y6" s="98">
        <f>(RamacheMarrit!$H$25)</f>
        <v>10</v>
      </c>
      <c r="Z6" s="98">
        <f>(RamacheMarrit!$H$26)</f>
        <v>9</v>
      </c>
      <c r="AA6" s="98">
        <f>(RamacheMarrit!$H$27)</f>
        <v>0</v>
      </c>
      <c r="AB6" s="98">
        <f>(RamacheMarrit!$H$28)</f>
        <v>0</v>
      </c>
      <c r="AC6" s="98">
        <f>(RamacheMarrit!$H$29)</f>
        <v>0</v>
      </c>
      <c r="AD6" s="98">
        <f>(RamacheMarrit!$H$35)</f>
        <v>18</v>
      </c>
      <c r="AE6" s="101">
        <f>(RamacheMarrit!$H$36)</f>
        <v>60.050000000000011</v>
      </c>
      <c r="AF6" s="104">
        <f ca="1">(RamacheMarrit!$H$50)</f>
        <v>27.5</v>
      </c>
      <c r="AG6" s="105">
        <f ca="1">(RamacheMarrit!$H$51)</f>
        <v>182.55</v>
      </c>
      <c r="AH6" s="137">
        <f t="shared" ca="1" si="0"/>
        <v>122.5</v>
      </c>
      <c r="AI6" s="150" t="s">
        <v>385</v>
      </c>
    </row>
    <row r="7" spans="1:35" x14ac:dyDescent="0.35">
      <c r="A7" s="156">
        <v>6</v>
      </c>
      <c r="B7" s="11" t="s">
        <v>362</v>
      </c>
      <c r="C7">
        <f>(VolskaNikola!$H$1)</f>
        <v>2008</v>
      </c>
      <c r="D7">
        <f>(VolskaNikola!$H$2)</f>
        <v>14</v>
      </c>
      <c r="E7" t="str">
        <f>(VolskaNikola!$B$2)</f>
        <v>TGJ Salzgitter</v>
      </c>
      <c r="F7" s="98">
        <f>(VolskaNikola!$H$4)</f>
        <v>10</v>
      </c>
      <c r="G7" s="98">
        <f>(VolskaNikola!$H$5)</f>
        <v>10</v>
      </c>
      <c r="H7" s="98">
        <f>(VolskaNikola!$H$6)</f>
        <v>10</v>
      </c>
      <c r="I7" s="98">
        <f>(VolskaNikola!$H$7)</f>
        <v>5</v>
      </c>
      <c r="J7" s="98">
        <f>(VolskaNikola!$H$8)</f>
        <v>5</v>
      </c>
      <c r="K7" s="98">
        <f>(VolskaNikola!$H$9)</f>
        <v>40</v>
      </c>
      <c r="L7" s="98">
        <f>(VolskaNikola!$H$11)</f>
        <v>4</v>
      </c>
      <c r="M7" s="98">
        <f>(VolskaNikola!$H$12)</f>
        <v>7</v>
      </c>
      <c r="N7" s="98">
        <f>(VolskaNikola!$H$13)</f>
        <v>5</v>
      </c>
      <c r="O7" s="98">
        <f>(VolskaNikola!$H$14)</f>
        <v>10</v>
      </c>
      <c r="P7" s="98">
        <f>(VolskaNikola!$H$15)</f>
        <v>8</v>
      </c>
      <c r="Q7" s="98">
        <f>(VolskaNikola!$H$16)</f>
        <v>10</v>
      </c>
      <c r="R7" s="98">
        <f>(VolskaNikola!$H$17)</f>
        <v>6</v>
      </c>
      <c r="S7" s="98">
        <f>(VolskaNikola!$H$18)</f>
        <v>50</v>
      </c>
      <c r="T7" s="101">
        <f>(VolskaNikola!$H$20)</f>
        <v>3.149999999999995</v>
      </c>
      <c r="U7" s="98">
        <f ca="1">(VolskaNikola!$H$21)</f>
        <v>8</v>
      </c>
      <c r="V7" s="98">
        <f>(VolskaNikola!$H$22)</f>
        <v>11</v>
      </c>
      <c r="W7" s="98">
        <f>(VolskaNikola!$H$23)</f>
        <v>0</v>
      </c>
      <c r="X7" s="98">
        <f>(VolskaNikola!$H$24)</f>
        <v>13</v>
      </c>
      <c r="Y7" s="98">
        <f>(VolskaNikola!$H$25)</f>
        <v>11</v>
      </c>
      <c r="Z7" s="98">
        <f>(VolskaNikola!$H$26)</f>
        <v>10</v>
      </c>
      <c r="AA7" s="98">
        <f>(VolskaNikola!$H$27)</f>
        <v>10</v>
      </c>
      <c r="AB7" s="98">
        <f>(VolskaNikola!$H$28)</f>
        <v>0</v>
      </c>
      <c r="AC7" s="98">
        <f>(VolskaNikola!$H$29)</f>
        <v>0</v>
      </c>
      <c r="AD7" s="98">
        <f>(VolskaNikola!$H$35)</f>
        <v>20</v>
      </c>
      <c r="AE7" s="101">
        <f ca="1">(VolskaNikola!$H$36)</f>
        <v>86.149999999999991</v>
      </c>
      <c r="AF7" s="104">
        <f ca="1">(VolskaNikola!$H$50)</f>
        <v>26</v>
      </c>
      <c r="AG7" s="105">
        <f ca="1">(VolskaNikola!$H$51)</f>
        <v>202.14999999999998</v>
      </c>
      <c r="AH7" s="137">
        <f t="shared" ca="1" si="0"/>
        <v>116</v>
      </c>
      <c r="AI7" s="150" t="s">
        <v>385</v>
      </c>
    </row>
    <row r="8" spans="1:35" x14ac:dyDescent="0.35">
      <c r="A8" s="156">
        <v>7</v>
      </c>
      <c r="B8" s="11" t="s">
        <v>405</v>
      </c>
      <c r="C8">
        <f>(TotzkeViona!$H$1)</f>
        <v>2006</v>
      </c>
      <c r="D8">
        <f>(TotzkeViona!$H$2)</f>
        <v>16</v>
      </c>
      <c r="E8" t="str">
        <f>(TotzkeViona!$B$2)</f>
        <v>SC Cottbus</v>
      </c>
      <c r="F8" s="98">
        <f>(TotzkeViona!$H$4)</f>
        <v>10</v>
      </c>
      <c r="G8" s="98">
        <f>(TotzkeViona!$H$5)</f>
        <v>10</v>
      </c>
      <c r="H8" s="98">
        <f>(TotzkeViona!$H$6)</f>
        <v>10</v>
      </c>
      <c r="I8" s="98">
        <f>(TotzkeViona!$H$7)</f>
        <v>5</v>
      </c>
      <c r="J8" s="98">
        <f>(TotzkeViona!$H$8)</f>
        <v>5</v>
      </c>
      <c r="K8" s="98">
        <f>(TotzkeViona!$H$9)</f>
        <v>40</v>
      </c>
      <c r="L8" s="98">
        <f>(TotzkeViona!$H$11)</f>
        <v>4</v>
      </c>
      <c r="M8" s="98">
        <f>(TotzkeViona!$H$12)</f>
        <v>1</v>
      </c>
      <c r="N8" s="98">
        <f>(TotzkeViona!$H$13)</f>
        <v>9</v>
      </c>
      <c r="O8" s="98">
        <f>(TotzkeViona!$H$14)</f>
        <v>10</v>
      </c>
      <c r="P8" s="98">
        <f>(TotzkeViona!$H$15)</f>
        <v>9</v>
      </c>
      <c r="Q8" s="98">
        <f>(TotzkeViona!$H$16)</f>
        <v>10</v>
      </c>
      <c r="R8" s="98">
        <f>(TotzkeViona!$H$17)</f>
        <v>6</v>
      </c>
      <c r="S8" s="98">
        <f>(TotzkeViona!$H$18)</f>
        <v>49</v>
      </c>
      <c r="T8" s="101">
        <f>(TotzkeViona!$H$20)</f>
        <v>7.0500000000000007</v>
      </c>
      <c r="U8" s="98">
        <f>(TotzkeViona!$H$21)</f>
        <v>0</v>
      </c>
      <c r="V8" s="98">
        <f>(TotzkeViona!$H$22)</f>
        <v>0</v>
      </c>
      <c r="W8" s="98">
        <f>(TotzkeViona!$H$23)</f>
        <v>0</v>
      </c>
      <c r="X8" s="98">
        <f>(TotzkeViona!$H$24)</f>
        <v>10</v>
      </c>
      <c r="Y8" s="98">
        <f>(TotzkeViona!$H$25)</f>
        <v>13</v>
      </c>
      <c r="Z8" s="98">
        <f>(TotzkeViona!$H$26)</f>
        <v>10</v>
      </c>
      <c r="AA8" s="98">
        <f>(TotzkeViona!$H$27)</f>
        <v>0</v>
      </c>
      <c r="AB8" s="98">
        <f>(TotzkeViona!$H$28)</f>
        <v>0</v>
      </c>
      <c r="AC8" s="98">
        <f>(TotzkeViona!$H$29)</f>
        <v>0</v>
      </c>
      <c r="AD8" s="98">
        <f>(TotzkeViona!$H$35)</f>
        <v>18</v>
      </c>
      <c r="AE8" s="101">
        <f>(TotzkeViona!$H$36)</f>
        <v>58.05</v>
      </c>
      <c r="AF8" s="104">
        <f ca="1">(TotzkeViona!$H$50)</f>
        <v>24.5</v>
      </c>
      <c r="AG8" s="105">
        <f ca="1">(TotzkeViona!$H$51)</f>
        <v>171.55</v>
      </c>
      <c r="AH8" s="137">
        <f t="shared" ca="1" si="0"/>
        <v>113.5</v>
      </c>
      <c r="AI8" s="150" t="s">
        <v>385</v>
      </c>
    </row>
    <row r="9" spans="1:35" x14ac:dyDescent="0.35">
      <c r="A9" s="156">
        <v>8</v>
      </c>
      <c r="B9" s="11" t="s">
        <v>377</v>
      </c>
      <c r="C9">
        <f>(MöllerMaya!$H$1)</f>
        <v>2007</v>
      </c>
      <c r="D9">
        <f>(MöllerMaya!$H$2)</f>
        <v>15</v>
      </c>
      <c r="E9" t="str">
        <f>(MöllerMaya!$B$2)</f>
        <v>TG Dietzenbach</v>
      </c>
      <c r="F9" s="98">
        <f>(MöllerMaya!$H$4)</f>
        <v>10</v>
      </c>
      <c r="G9" s="98">
        <f>(MöllerMaya!$H$5)</f>
        <v>10</v>
      </c>
      <c r="H9" s="98">
        <f>(MöllerMaya!$H$6)</f>
        <v>10</v>
      </c>
      <c r="I9" s="98">
        <f>(MöllerMaya!$H$7)</f>
        <v>5</v>
      </c>
      <c r="J9" s="98">
        <f>(MöllerMaya!$H$8)</f>
        <v>5</v>
      </c>
      <c r="K9" s="98">
        <f>(MöllerMaya!$H$9)</f>
        <v>40</v>
      </c>
      <c r="L9" s="98">
        <f>(MöllerMaya!$H$11)</f>
        <v>0</v>
      </c>
      <c r="M9" s="98">
        <f>(MöllerMaya!$H$12)</f>
        <v>0</v>
      </c>
      <c r="N9" s="98">
        <f>(MöllerMaya!$H$13)</f>
        <v>10</v>
      </c>
      <c r="O9" s="98">
        <f>(MöllerMaya!$H$14)</f>
        <v>10</v>
      </c>
      <c r="P9" s="98">
        <f>(MöllerMaya!$H$15)</f>
        <v>9</v>
      </c>
      <c r="Q9" s="98">
        <f>(MöllerMaya!$H$16)</f>
        <v>10</v>
      </c>
      <c r="R9" s="98">
        <f>(MöllerMaya!$H$17)</f>
        <v>5</v>
      </c>
      <c r="S9" s="98">
        <f>(MöllerMaya!$H$18)</f>
        <v>44</v>
      </c>
      <c r="T9" s="101">
        <f>(MöllerMaya!$H$20)</f>
        <v>13.049999999999979</v>
      </c>
      <c r="U9" s="98">
        <f>(MöllerMaya!$H$21)</f>
        <v>9</v>
      </c>
      <c r="V9" s="98">
        <f ca="1">(MöllerMaya!$H$22)</f>
        <v>11</v>
      </c>
      <c r="W9" s="98">
        <f>(MöllerMaya!$H$23)</f>
        <v>0</v>
      </c>
      <c r="X9" s="98">
        <f>(MöllerMaya!$H$24)</f>
        <v>13</v>
      </c>
      <c r="Y9" s="98">
        <f>(MöllerMaya!$H$25)</f>
        <v>13</v>
      </c>
      <c r="Z9" s="98">
        <f>(MöllerMaya!$H$26)</f>
        <v>12</v>
      </c>
      <c r="AA9" s="98">
        <f>(MöllerMaya!$H$27)</f>
        <v>13</v>
      </c>
      <c r="AB9" s="98">
        <f>(MöllerMaya!$H$28)</f>
        <v>0</v>
      </c>
      <c r="AC9" s="98">
        <f>(MöllerMaya!$H$29)</f>
        <v>0</v>
      </c>
      <c r="AD9" s="98">
        <f>(MöllerMaya!$H$35)</f>
        <v>24</v>
      </c>
      <c r="AE9" s="101">
        <f ca="1">(MöllerMaya!$H$36)</f>
        <v>108.04999999999998</v>
      </c>
      <c r="AF9" s="104">
        <f ca="1">(MöllerMaya!$H$50)</f>
        <v>29</v>
      </c>
      <c r="AG9" s="105">
        <f ca="1">(MöllerMaya!$H$51)</f>
        <v>221.04999999999998</v>
      </c>
      <c r="AH9" s="137">
        <f t="shared" ca="1" si="0"/>
        <v>113</v>
      </c>
      <c r="AI9" s="150" t="s">
        <v>385</v>
      </c>
    </row>
    <row r="10" spans="1:35" x14ac:dyDescent="0.35">
      <c r="A10" s="156">
        <v>9</v>
      </c>
      <c r="B10" s="11" t="s">
        <v>355</v>
      </c>
      <c r="C10">
        <f>(BachmannRieke!$H$1)</f>
        <v>2009</v>
      </c>
      <c r="D10">
        <f>(BachmannRieke!$H$2)</f>
        <v>13</v>
      </c>
      <c r="E10" t="str">
        <f>(BachmannRieke!$B$2)</f>
        <v>TSV Ganderkesee</v>
      </c>
      <c r="F10" s="98">
        <f>(BachmannRieke!$H$4)</f>
        <v>10</v>
      </c>
      <c r="G10" s="98">
        <f>(BachmannRieke!$H$5)</f>
        <v>10</v>
      </c>
      <c r="H10" s="98">
        <f>(BachmannRieke!$H$6)</f>
        <v>10</v>
      </c>
      <c r="I10" s="98">
        <f>(BachmannRieke!$H$7)</f>
        <v>5</v>
      </c>
      <c r="J10" s="98">
        <f>(BachmannRieke!$H$8)</f>
        <v>5</v>
      </c>
      <c r="K10" s="98">
        <f>(BachmannRieke!$H$9)</f>
        <v>40</v>
      </c>
      <c r="L10" s="98">
        <f>(BachmannRieke!$H$11)</f>
        <v>0</v>
      </c>
      <c r="M10" s="98">
        <f>(BachmannRieke!$H$12)</f>
        <v>2</v>
      </c>
      <c r="N10" s="98">
        <f>(BachmannRieke!$H$13)</f>
        <v>10</v>
      </c>
      <c r="O10" s="98">
        <f>(BachmannRieke!$H$14)</f>
        <v>10</v>
      </c>
      <c r="P10" s="98">
        <f>(BachmannRieke!$H$15)</f>
        <v>8</v>
      </c>
      <c r="Q10" s="98">
        <f>(BachmannRieke!$H$16)</f>
        <v>10</v>
      </c>
      <c r="R10" s="98">
        <f>(BachmannRieke!$H$17)</f>
        <v>4</v>
      </c>
      <c r="S10" s="98">
        <f>(BachmannRieke!$H$18)</f>
        <v>44</v>
      </c>
      <c r="T10" s="101">
        <f>(BachmannRieke!$H$20)</f>
        <v>3.3500000000000085</v>
      </c>
      <c r="U10" s="98">
        <f>(BachmannRieke!$H$21)</f>
        <v>5</v>
      </c>
      <c r="V10" s="98">
        <f>(BachmannRieke!$H$22)</f>
        <v>7</v>
      </c>
      <c r="W10" s="98">
        <f>(BachmannRieke!$H$23)</f>
        <v>0</v>
      </c>
      <c r="X10" s="98">
        <f>(BachmannRieke!$H$24)</f>
        <v>9</v>
      </c>
      <c r="Y10" s="98">
        <f>(BachmannRieke!$H$25)</f>
        <v>9</v>
      </c>
      <c r="Z10" s="98">
        <f>(BachmannRieke!$H$26)</f>
        <v>8</v>
      </c>
      <c r="AA10" s="98">
        <f>(BachmannRieke!$H$27)</f>
        <v>11</v>
      </c>
      <c r="AB10" s="98">
        <f>(BachmannRieke!$H$28)</f>
        <v>0</v>
      </c>
      <c r="AC10" s="98">
        <f>(BachmannRieke!$H$29)</f>
        <v>0</v>
      </c>
      <c r="AD10" s="98">
        <f>(BachmannRieke!$H$35)</f>
        <v>17</v>
      </c>
      <c r="AE10" s="101">
        <f>(BachmannRieke!$H$36)</f>
        <v>69.350000000000009</v>
      </c>
      <c r="AF10" s="104">
        <f ca="1">(BachmannRieke!$H$50)</f>
        <v>19.5</v>
      </c>
      <c r="AG10" s="105">
        <f ca="1">(BachmannRieke!$H$51)</f>
        <v>172.85000000000002</v>
      </c>
      <c r="AH10" s="137">
        <f t="shared" ca="1" si="0"/>
        <v>103.5</v>
      </c>
      <c r="AI10" s="150" t="s">
        <v>385</v>
      </c>
    </row>
    <row r="11" spans="1:35" x14ac:dyDescent="0.35">
      <c r="A11" s="156">
        <v>10</v>
      </c>
      <c r="B11" s="11" t="s">
        <v>397</v>
      </c>
      <c r="C11">
        <f>('Ronsiek-Niederbröcker, Hannah'!$H$1)</f>
        <v>2006</v>
      </c>
      <c r="D11">
        <f>('Ronsiek-Niederbröcker, Hannah'!$H$2)</f>
        <v>16</v>
      </c>
      <c r="E11" t="str">
        <f>('Ronsiek-Niederbröcker, Hannah'!$B$2)</f>
        <v>SV Melle</v>
      </c>
      <c r="F11" s="98">
        <f>('Ronsiek-Niederbröcker, Hannah'!$H$4)</f>
        <v>10</v>
      </c>
      <c r="G11" s="98">
        <f>('Ronsiek-Niederbröcker, Hannah'!$H$5)</f>
        <v>6</v>
      </c>
      <c r="H11" s="98">
        <f>('Ronsiek-Niederbröcker, Hannah'!$H$6)</f>
        <v>10</v>
      </c>
      <c r="I11" s="98">
        <f>('Ronsiek-Niederbröcker, Hannah'!$H$7)</f>
        <v>5</v>
      </c>
      <c r="J11" s="98">
        <f>('Ronsiek-Niederbröcker, Hannah'!$H$8)</f>
        <v>5</v>
      </c>
      <c r="K11" s="98">
        <f>('Ronsiek-Niederbröcker, Hannah'!$H$9)</f>
        <v>36</v>
      </c>
      <c r="L11" s="98">
        <f>('Ronsiek-Niederbröcker, Hannah'!$H$11)</f>
        <v>0</v>
      </c>
      <c r="M11" s="98">
        <f>('Ronsiek-Niederbröcker, Hannah'!$H$12)</f>
        <v>0</v>
      </c>
      <c r="N11" s="98">
        <f>('Ronsiek-Niederbröcker, Hannah'!$H$13)</f>
        <v>6</v>
      </c>
      <c r="O11" s="98">
        <f>('Ronsiek-Niederbröcker, Hannah'!$H$14)</f>
        <v>10</v>
      </c>
      <c r="P11" s="98">
        <f>('Ronsiek-Niederbröcker, Hannah'!$H$15)</f>
        <v>8</v>
      </c>
      <c r="Q11" s="98">
        <f>('Ronsiek-Niederbröcker, Hannah'!$H$16)</f>
        <v>10</v>
      </c>
      <c r="R11" s="98">
        <f>('Ronsiek-Niederbröcker, Hannah'!$H$17)</f>
        <v>5</v>
      </c>
      <c r="S11" s="98">
        <f>('Ronsiek-Niederbröcker, Hannah'!$H$18)</f>
        <v>39</v>
      </c>
      <c r="T11" s="101" t="str">
        <f>('Ronsiek-Niederbröcker, Hannah'!$H$19)</f>
        <v>Punktzahl</v>
      </c>
      <c r="U11" s="98">
        <f>('Ronsiek-Niederbröcker, Hannah'!$H$21)</f>
        <v>0</v>
      </c>
      <c r="V11" s="98">
        <f>('Ronsiek-Niederbröcker, Hannah'!$H$22)</f>
        <v>0</v>
      </c>
      <c r="W11" s="98">
        <f>('Ronsiek-Niederbröcker, Hannah'!$H$23)</f>
        <v>0</v>
      </c>
      <c r="X11" s="98">
        <f>('Ronsiek-Niederbröcker, Hannah'!$H$24)</f>
        <v>11</v>
      </c>
      <c r="Y11" s="98">
        <f>('Ronsiek-Niederbröcker, Hannah'!$H$25)</f>
        <v>9</v>
      </c>
      <c r="Z11" s="98">
        <f>('Ronsiek-Niederbröcker, Hannah'!$H$26)</f>
        <v>8</v>
      </c>
      <c r="AA11" s="98">
        <f>('Ronsiek-Niederbröcker, Hannah'!$H$27)</f>
        <v>6</v>
      </c>
      <c r="AB11" s="98">
        <f>('Ronsiek-Niederbröcker, Hannah'!$H$28)</f>
        <v>0</v>
      </c>
      <c r="AC11" s="98">
        <f>('Ronsiek-Niederbröcker, Hannah'!$H$29)</f>
        <v>0</v>
      </c>
      <c r="AD11" s="98">
        <f>('Ronsiek-Niederbröcker, Hannah'!$H$30)</f>
        <v>0</v>
      </c>
      <c r="AE11" s="101">
        <f>('Ronsiek-Niederbröcker, Hannah'!$H$36)</f>
        <v>42.55</v>
      </c>
      <c r="AF11" s="104">
        <f ca="1">('Ronsiek-Niederbröcker, Hannah'!$H$50)</f>
        <v>22.5</v>
      </c>
      <c r="AG11" s="105">
        <f ca="1">('Ronsiek-Niederbröcker, Hannah'!$H$51)</f>
        <v>140.05000000000001</v>
      </c>
      <c r="AH11" s="137">
        <f t="shared" ca="1" si="0"/>
        <v>97.5</v>
      </c>
      <c r="AI11" s="150" t="s">
        <v>385</v>
      </c>
    </row>
    <row r="12" spans="1:35" x14ac:dyDescent="0.35">
      <c r="A12" s="156">
        <v>11</v>
      </c>
      <c r="B12" s="11" t="s">
        <v>366</v>
      </c>
      <c r="C12">
        <f>(HirschLiska!$H$1)</f>
        <v>2008</v>
      </c>
      <c r="D12">
        <f>(HirschLiska!$H$2)</f>
        <v>14</v>
      </c>
      <c r="E12" t="str">
        <f>(HirschLiska!$B$2)</f>
        <v>TGJ Salzgitter</v>
      </c>
      <c r="F12" s="98">
        <f>(HirschLiska!$H$4)</f>
        <v>10</v>
      </c>
      <c r="G12" s="98">
        <f>(HirschLiska!$H$5)</f>
        <v>10</v>
      </c>
      <c r="H12" s="98">
        <f>(HirschLiska!$H$6)</f>
        <v>10</v>
      </c>
      <c r="I12" s="98">
        <f>(HirschLiska!$H$7)</f>
        <v>5</v>
      </c>
      <c r="J12" s="98">
        <f>(HirschLiska!$H$8)</f>
        <v>5</v>
      </c>
      <c r="K12" s="98">
        <f>(HirschLiska!$H$9)</f>
        <v>40</v>
      </c>
      <c r="L12" s="98">
        <f>(HirschLiska!$H$11)</f>
        <v>0</v>
      </c>
      <c r="M12" s="98">
        <f>(HirschLiska!$H$12)</f>
        <v>1</v>
      </c>
      <c r="N12" s="98">
        <f>(HirschLiska!$H$13)</f>
        <v>10</v>
      </c>
      <c r="O12" s="98">
        <f>(HirschLiska!$H$14)</f>
        <v>10</v>
      </c>
      <c r="P12" s="98">
        <f>(HirschLiska!$H$15)</f>
        <v>7</v>
      </c>
      <c r="Q12" s="98">
        <f>(HirschLiska!$H$16)</f>
        <v>10</v>
      </c>
      <c r="R12" s="98">
        <f>(HirschLiska!$H$17)</f>
        <v>2</v>
      </c>
      <c r="S12" s="98">
        <f>(HirschLiska!$H$18)</f>
        <v>40</v>
      </c>
      <c r="T12" s="101">
        <f>(HirschLiska!$H$20)</f>
        <v>4.2499999999999893</v>
      </c>
      <c r="U12" s="98">
        <f>(HirschLiska!$H$21)</f>
        <v>8</v>
      </c>
      <c r="V12" s="98">
        <f>(HirschLiska!$H$22)</f>
        <v>4</v>
      </c>
      <c r="W12" s="98">
        <f>(HirschLiska!$H$23)</f>
        <v>0</v>
      </c>
      <c r="X12" s="98">
        <f>(HirschLiska!$H$24)</f>
        <v>11</v>
      </c>
      <c r="Y12" s="98">
        <f>(HirschLiska!$H$25)</f>
        <v>7</v>
      </c>
      <c r="Z12" s="98">
        <f>(HirschLiska!$H$26)</f>
        <v>7</v>
      </c>
      <c r="AA12" s="98">
        <f>(HirschLiska!$H$27)</f>
        <v>9</v>
      </c>
      <c r="AB12" s="98">
        <f>(HirschLiska!$H$28)</f>
        <v>0</v>
      </c>
      <c r="AC12" s="98">
        <f>(HirschLiska!$H$29)</f>
        <v>0</v>
      </c>
      <c r="AD12" s="98">
        <f>(HirschLiska!$H$35)</f>
        <v>19</v>
      </c>
      <c r="AE12" s="101">
        <f>(HirschLiska!$H$36)</f>
        <v>69.249999999999986</v>
      </c>
      <c r="AF12" s="104">
        <f ca="1">(HirschLiska!$H$50)</f>
        <v>16.5</v>
      </c>
      <c r="AG12" s="105">
        <f ca="1">(HirschLiska!$H$51)</f>
        <v>165.75</v>
      </c>
      <c r="AH12" s="137">
        <f t="shared" ca="1" si="0"/>
        <v>96.5</v>
      </c>
      <c r="AI12" s="150" t="s">
        <v>385</v>
      </c>
    </row>
    <row r="13" spans="1:35" x14ac:dyDescent="0.35">
      <c r="A13" s="156">
        <v>12</v>
      </c>
      <c r="B13" s="11" t="s">
        <v>373</v>
      </c>
      <c r="C13">
        <f>(StöhrGabriela!$H$1)</f>
        <v>2002</v>
      </c>
      <c r="D13">
        <f>(StöhrGabriela!$H$2)</f>
        <v>20</v>
      </c>
      <c r="E13" t="str">
        <f>(StöhrGabriela!$B$2)</f>
        <v>Munich-Airiders</v>
      </c>
      <c r="F13" s="98">
        <f>(StöhrGabriela!$H$4)</f>
        <v>10</v>
      </c>
      <c r="G13" s="98">
        <f>(StöhrGabriela!$H$5)</f>
        <v>10</v>
      </c>
      <c r="H13" s="98">
        <f>(StöhrGabriela!$H$6)</f>
        <v>10</v>
      </c>
      <c r="I13" s="98">
        <f>(StöhrGabriela!$H$7)</f>
        <v>5</v>
      </c>
      <c r="J13" s="98">
        <f>(StöhrGabriela!$H$8)</f>
        <v>5</v>
      </c>
      <c r="K13" s="98">
        <f>(StöhrGabriela!$H$9)</f>
        <v>40</v>
      </c>
      <c r="L13" s="98">
        <f>(StöhrGabriela!$H$11)</f>
        <v>9</v>
      </c>
      <c r="M13" s="98">
        <f>(StöhrGabriela!$H$12)</f>
        <v>3</v>
      </c>
      <c r="N13" s="98">
        <f>(StöhrGabriela!$H$13)</f>
        <v>8</v>
      </c>
      <c r="O13" s="98">
        <f>(StöhrGabriela!$H$14)</f>
        <v>10</v>
      </c>
      <c r="P13" s="98">
        <f>(StöhrGabriela!$H$15)</f>
        <v>8</v>
      </c>
      <c r="Q13" s="98">
        <f>(StöhrGabriela!$H$16)</f>
        <v>10</v>
      </c>
      <c r="R13" s="98">
        <f>(StöhrGabriela!$H$17)</f>
        <v>7</v>
      </c>
      <c r="S13" s="98">
        <f>(StöhrGabriela!$H$18)</f>
        <v>55</v>
      </c>
      <c r="T13" s="101">
        <f>(StöhrGabriela!$H$20)</f>
        <v>4.6499999999999986</v>
      </c>
      <c r="U13" s="98">
        <f>(StöhrGabriela!$H$21)</f>
        <v>0</v>
      </c>
      <c r="V13" s="98">
        <f>(StöhrGabriela!$H$22)</f>
        <v>0</v>
      </c>
      <c r="W13" s="98">
        <f>(StöhrGabriela!$H$23)</f>
        <v>0</v>
      </c>
      <c r="X13" s="98">
        <f>(StöhrGabriela!$H$24)</f>
        <v>13</v>
      </c>
      <c r="Y13" s="98">
        <f>(StöhrGabriela!$H$25)</f>
        <v>12</v>
      </c>
      <c r="Z13" s="98">
        <f>(StöhrGabriela!$H$26)</f>
        <v>11</v>
      </c>
      <c r="AA13" s="98">
        <f>(StöhrGabriela!$H$27)</f>
        <v>16</v>
      </c>
      <c r="AB13" s="98">
        <f>(StöhrGabriela!$H$28)</f>
        <v>0</v>
      </c>
      <c r="AC13" s="98">
        <f>(StöhrGabriela!$H$29)</f>
        <v>0</v>
      </c>
      <c r="AD13" s="98">
        <f>(StöhrGabriela!$H$35)</f>
        <v>18</v>
      </c>
      <c r="AE13" s="101">
        <f>(StöhrGabriela!$H$36)</f>
        <v>74.650000000000006</v>
      </c>
      <c r="AF13" s="152">
        <f ca="1">(StöhrGabriela!$H$50)</f>
        <v>0</v>
      </c>
      <c r="AG13" s="105">
        <f ca="1">(StöhrGabriela!$H$51)</f>
        <v>169.65</v>
      </c>
      <c r="AH13" s="137">
        <f t="shared" ca="1" si="0"/>
        <v>95</v>
      </c>
      <c r="AI13" s="150" t="s">
        <v>385</v>
      </c>
    </row>
    <row r="14" spans="1:35" x14ac:dyDescent="0.35">
      <c r="A14" s="156">
        <v>13</v>
      </c>
      <c r="B14" s="11" t="s">
        <v>372</v>
      </c>
      <c r="C14">
        <f>(BraafLuisa!$H$1)</f>
        <v>2004</v>
      </c>
      <c r="D14">
        <f>(BraafLuisa!$H$2)</f>
        <v>18</v>
      </c>
      <c r="E14" t="str">
        <f>(BraafLuisa!$B$2)</f>
        <v>TV Unterbach</v>
      </c>
      <c r="F14" s="98">
        <f>(BraafLuisa!$H$4)</f>
        <v>10</v>
      </c>
      <c r="G14" s="98">
        <f>(BraafLuisa!$H$5)</f>
        <v>10</v>
      </c>
      <c r="H14" s="98">
        <f>(BraafLuisa!$H$6)</f>
        <v>10</v>
      </c>
      <c r="I14" s="98">
        <f>(BraafLuisa!$H$7)</f>
        <v>5</v>
      </c>
      <c r="J14" s="98">
        <f>(BraafLuisa!$H$8)</f>
        <v>5</v>
      </c>
      <c r="K14" s="98">
        <f>(BraafLuisa!$H$9)</f>
        <v>40</v>
      </c>
      <c r="L14" s="98">
        <f>(BraafLuisa!$H$11)</f>
        <v>2</v>
      </c>
      <c r="M14" s="98">
        <f>(BraafLuisa!$H$12)</f>
        <v>1</v>
      </c>
      <c r="N14" s="98">
        <f>(BraafLuisa!$H$13)</f>
        <v>10</v>
      </c>
      <c r="O14" s="98">
        <f>(BraafLuisa!$H$14)</f>
        <v>10</v>
      </c>
      <c r="P14" s="98">
        <f>(BraafLuisa!$H$15)</f>
        <v>9</v>
      </c>
      <c r="Q14" s="98">
        <f>(BraafLuisa!$H$16)</f>
        <v>10</v>
      </c>
      <c r="R14" s="98">
        <f>(BraafLuisa!$H$17)</f>
        <v>7</v>
      </c>
      <c r="S14" s="98">
        <f>(BraafLuisa!$H$18)</f>
        <v>49</v>
      </c>
      <c r="T14" s="101">
        <f>(BraafLuisa!$H$20)</f>
        <v>2.5499999999999901</v>
      </c>
      <c r="U14" s="98">
        <f>(BraafLuisa!$H$21)</f>
        <v>0</v>
      </c>
      <c r="V14" s="98">
        <f>(BraafLuisa!$H$22)</f>
        <v>0</v>
      </c>
      <c r="W14" s="98">
        <f>(BraafLuisa!$H$23)</f>
        <v>0</v>
      </c>
      <c r="X14" s="98">
        <f>(BraafLuisa!$H$24)</f>
        <v>13</v>
      </c>
      <c r="Y14" s="98">
        <f>(BraafLuisa!$H$25)</f>
        <v>13</v>
      </c>
      <c r="Z14" s="98">
        <f>(BraafLuisa!$H$26)</f>
        <v>10</v>
      </c>
      <c r="AA14" s="98">
        <f>(BraafLuisa!$H$27)</f>
        <v>10</v>
      </c>
      <c r="AB14" s="98">
        <f>(BraafLuisa!$H$28)</f>
        <v>15</v>
      </c>
      <c r="AC14" s="98">
        <f>(BraafLuisa!$H$29)</f>
        <v>11</v>
      </c>
      <c r="AD14" s="98">
        <f>(BraafLuisa!$H$35)</f>
        <v>17</v>
      </c>
      <c r="AE14" s="101">
        <f>(BraafLuisa!$H$36)</f>
        <v>91.549999999999983</v>
      </c>
      <c r="AF14" s="152">
        <f ca="1">(BraafLuisa!$H$50)</f>
        <v>0</v>
      </c>
      <c r="AG14" s="105">
        <f ca="1">(BraafLuisa!$H$51)</f>
        <v>180.54999999999998</v>
      </c>
      <c r="AH14" s="137">
        <f t="shared" ca="1" si="0"/>
        <v>89</v>
      </c>
      <c r="AI14" s="150" t="s">
        <v>385</v>
      </c>
    </row>
    <row r="15" spans="1:35" x14ac:dyDescent="0.35">
      <c r="A15" s="156">
        <v>14</v>
      </c>
      <c r="B15" s="11" t="s">
        <v>369</v>
      </c>
      <c r="C15">
        <f>(SchneiderFiona!$H$1)</f>
        <v>2004</v>
      </c>
      <c r="D15">
        <f>(SchneiderFiona!$H$2)</f>
        <v>18</v>
      </c>
      <c r="E15" t="str">
        <f>(SchneiderFiona!$B$2)</f>
        <v>TV Unterbach</v>
      </c>
      <c r="F15" s="98">
        <f>(SchneiderFiona!$H$4)</f>
        <v>10</v>
      </c>
      <c r="G15" s="98">
        <f>(SchneiderFiona!$H$5)</f>
        <v>6</v>
      </c>
      <c r="H15" s="98">
        <f>(SchneiderFiona!$H$6)</f>
        <v>10</v>
      </c>
      <c r="I15" s="98">
        <f>(SchneiderFiona!$H$7)</f>
        <v>5</v>
      </c>
      <c r="J15" s="98">
        <f>(SchneiderFiona!$H$8)</f>
        <v>5</v>
      </c>
      <c r="K15" s="98">
        <f>(SchneiderFiona!$H$9)</f>
        <v>36</v>
      </c>
      <c r="L15" s="98">
        <f>(SchneiderFiona!$H$11)</f>
        <v>3</v>
      </c>
      <c r="M15" s="98">
        <f>(SchneiderFiona!$H$12)</f>
        <v>4</v>
      </c>
      <c r="N15" s="98">
        <f>(SchneiderFiona!$H$13)</f>
        <v>10</v>
      </c>
      <c r="O15" s="98">
        <f>(SchneiderFiona!$H$14)</f>
        <v>10</v>
      </c>
      <c r="P15" s="98">
        <f>(SchneiderFiona!$H$15)</f>
        <v>7</v>
      </c>
      <c r="Q15" s="98">
        <f>(SchneiderFiona!$H$16)</f>
        <v>10</v>
      </c>
      <c r="R15" s="98">
        <f>(SchneiderFiona!$H$17)</f>
        <v>3</v>
      </c>
      <c r="S15" s="98">
        <f>(SchneiderFiona!$H$18)</f>
        <v>47</v>
      </c>
      <c r="T15" s="101">
        <f>(SchneiderFiona!$H$20)</f>
        <v>3.2000000000000028</v>
      </c>
      <c r="U15" s="98">
        <f>(SchneiderFiona!$H$21)</f>
        <v>0</v>
      </c>
      <c r="V15" s="98">
        <f>(SchneiderFiona!$H$22)</f>
        <v>0</v>
      </c>
      <c r="W15" s="98">
        <f>(SchneiderFiona!$H$23)</f>
        <v>0</v>
      </c>
      <c r="X15" s="98">
        <f>(SchneiderFiona!$H$24)</f>
        <v>13</v>
      </c>
      <c r="Y15" s="98">
        <f>(SchneiderFiona!$H$25)</f>
        <v>10</v>
      </c>
      <c r="Z15" s="98">
        <f>(SchneiderFiona!$H$26)</f>
        <v>11</v>
      </c>
      <c r="AA15" s="98">
        <f>(SchneiderFiona!$H$27)</f>
        <v>10</v>
      </c>
      <c r="AB15" s="98">
        <f>(SchneiderFiona!$H$28)</f>
        <v>0</v>
      </c>
      <c r="AC15" s="98">
        <f>(SchneiderFiona!$H$29)</f>
        <v>0</v>
      </c>
      <c r="AD15" s="98">
        <f>(SchneiderFiona!$H$35)</f>
        <v>18</v>
      </c>
      <c r="AE15" s="101">
        <f>(SchneiderFiona!$H$36)</f>
        <v>65.2</v>
      </c>
      <c r="AF15" s="152">
        <f ca="1">(SchneiderFiona!$H$50)</f>
        <v>0</v>
      </c>
      <c r="AG15" s="105">
        <f ca="1">(SchneiderFiona!$H$51)</f>
        <v>148.19999999999999</v>
      </c>
      <c r="AH15" s="137">
        <f t="shared" ca="1" si="0"/>
        <v>83</v>
      </c>
      <c r="AI15" s="150" t="s">
        <v>385</v>
      </c>
    </row>
    <row r="16" spans="1:35" x14ac:dyDescent="0.35">
      <c r="A16" s="156">
        <v>15</v>
      </c>
      <c r="B16" s="11" t="s">
        <v>360</v>
      </c>
      <c r="C16">
        <f>(MelnichukAlexandra!$H$1)</f>
        <v>2009</v>
      </c>
      <c r="D16">
        <f>(MelnichukAlexandra!$H$2)</f>
        <v>13</v>
      </c>
      <c r="E16" t="str">
        <f>(MelnichukAlexandra!$B$2)</f>
        <v>TGJ Salzgitter</v>
      </c>
      <c r="F16" s="98">
        <f>(MelnichukAlexandra!$H$4)</f>
        <v>10</v>
      </c>
      <c r="G16" s="98">
        <f>(MelnichukAlexandra!$H$5)</f>
        <v>6</v>
      </c>
      <c r="H16" s="98">
        <f>(MelnichukAlexandra!$H$6)</f>
        <v>2</v>
      </c>
      <c r="I16" s="98">
        <f>(MelnichukAlexandra!$H$7)</f>
        <v>4</v>
      </c>
      <c r="J16" s="98">
        <f>(MelnichukAlexandra!$H$8)</f>
        <v>3</v>
      </c>
      <c r="K16" s="98">
        <f>(MelnichukAlexandra!$H$9)</f>
        <v>25</v>
      </c>
      <c r="L16" s="98">
        <f>(MelnichukAlexandra!$H$11)</f>
        <v>0</v>
      </c>
      <c r="M16" s="98">
        <f>(MelnichukAlexandra!$H$12)</f>
        <v>0</v>
      </c>
      <c r="N16" s="98">
        <f>(MelnichukAlexandra!$H$13)</f>
        <v>4</v>
      </c>
      <c r="O16" s="98">
        <f>(MelnichukAlexandra!$H$14)</f>
        <v>9</v>
      </c>
      <c r="P16" s="98">
        <f>(MelnichukAlexandra!$H$15)</f>
        <v>10</v>
      </c>
      <c r="Q16" s="98">
        <f>(MelnichukAlexandra!$H$16)</f>
        <v>8</v>
      </c>
      <c r="R16" s="98">
        <f>(MelnichukAlexandra!$H$17)</f>
        <v>7</v>
      </c>
      <c r="S16" s="98">
        <f>(MelnichukAlexandra!$H$18)</f>
        <v>38</v>
      </c>
      <c r="T16" s="101">
        <f>(MelnichukAlexandra!$H$20)</f>
        <v>12.799999999999994</v>
      </c>
      <c r="U16" s="98">
        <f>(MelnichukAlexandra!$H$21)</f>
        <v>7</v>
      </c>
      <c r="V16" s="98">
        <f>(MelnichukAlexandra!$H$22)</f>
        <v>8</v>
      </c>
      <c r="W16" s="98">
        <f>(MelnichukAlexandra!$H$23)</f>
        <v>0</v>
      </c>
      <c r="X16" s="98">
        <f>(MelnichukAlexandra!$H$24)</f>
        <v>9</v>
      </c>
      <c r="Y16" s="98">
        <f>(MelnichukAlexandra!$H$25)</f>
        <v>11</v>
      </c>
      <c r="Z16" s="98">
        <f>(MelnichukAlexandra!$H$26)</f>
        <v>8</v>
      </c>
      <c r="AA16" s="98">
        <f>(MelnichukAlexandra!$H$27)</f>
        <v>11</v>
      </c>
      <c r="AB16" s="98">
        <f>(MelnichukAlexandra!$H$28)</f>
        <v>0</v>
      </c>
      <c r="AC16" s="98">
        <f>(MelnichukAlexandra!$H$29)</f>
        <v>0</v>
      </c>
      <c r="AD16" s="98">
        <f>(MelnichukAlexandra!$H$35)</f>
        <v>19</v>
      </c>
      <c r="AE16" s="101">
        <f>(MelnichukAlexandra!$H$36)</f>
        <v>85.8</v>
      </c>
      <c r="AF16" s="104">
        <f ca="1">(MelnichukAlexandra!$H$50)</f>
        <v>18.5</v>
      </c>
      <c r="AG16" s="105">
        <f ca="1">(MelnichukAlexandra!$H$51)</f>
        <v>167.3</v>
      </c>
      <c r="AH16" s="137">
        <f t="shared" ca="1" si="0"/>
        <v>81.5</v>
      </c>
      <c r="AI16" s="151" t="s">
        <v>386</v>
      </c>
    </row>
    <row r="17" spans="1:39" x14ac:dyDescent="0.35">
      <c r="A17" s="156">
        <v>16</v>
      </c>
      <c r="B17" s="11" t="s">
        <v>375</v>
      </c>
      <c r="C17">
        <f>(RadfelderHenningMirja!$H$1)</f>
        <v>2005</v>
      </c>
      <c r="D17">
        <f>(RadfelderHenningMirja!$H$2)</f>
        <v>17</v>
      </c>
      <c r="E17" t="str">
        <f>(RadfelderHenningMirja!$B$2)</f>
        <v>OSC Bremerhaven</v>
      </c>
      <c r="F17" s="98">
        <f>(RadfelderHenningMirja!$H$4)</f>
        <v>10</v>
      </c>
      <c r="G17" s="98">
        <f>(RadfelderHenningMirja!$H$5)</f>
        <v>10</v>
      </c>
      <c r="H17" s="98">
        <f>(RadfelderHenningMirja!$H$6)</f>
        <v>10</v>
      </c>
      <c r="I17" s="98">
        <f>(RadfelderHenningMirja!$H$7)</f>
        <v>5</v>
      </c>
      <c r="J17" s="98">
        <f>(RadfelderHenningMirja!$H$8)</f>
        <v>5</v>
      </c>
      <c r="K17" s="98">
        <f>(RadfelderHenningMirja!$H$9)</f>
        <v>40</v>
      </c>
      <c r="L17" s="98">
        <f>(RadfelderHenningMirja!$H$11)</f>
        <v>0</v>
      </c>
      <c r="M17" s="98">
        <f>(RadfelderHenningMirja!$H$12)</f>
        <v>6</v>
      </c>
      <c r="N17" s="98">
        <f>(RadfelderHenningMirja!$H$13)</f>
        <v>2</v>
      </c>
      <c r="O17" s="98">
        <f>(RadfelderHenningMirja!$H$14)</f>
        <v>10</v>
      </c>
      <c r="P17" s="98">
        <f>(RadfelderHenningMirja!$H$15)</f>
        <v>8</v>
      </c>
      <c r="Q17" s="98">
        <f>(RadfelderHenningMirja!$H$16)</f>
        <v>10</v>
      </c>
      <c r="R17" s="98">
        <f>(RadfelderHenningMirja!$H$17)</f>
        <v>5</v>
      </c>
      <c r="S17" s="98">
        <f>(RadfelderHenningMirja!$H$18)</f>
        <v>41</v>
      </c>
      <c r="T17" s="101">
        <f>(RadfelderHenningMirja!$H$20)</f>
        <v>4.2999999999999972</v>
      </c>
      <c r="U17" s="98">
        <f>(RadfelderHenningMirja!$H$21)</f>
        <v>0</v>
      </c>
      <c r="V17" s="98">
        <f>(RadfelderHenningMirja!$H$22)</f>
        <v>0</v>
      </c>
      <c r="W17" s="98">
        <f>(RadfelderHenningMirja!$H$23)</f>
        <v>0</v>
      </c>
      <c r="X17" s="98">
        <f>(RadfelderHenningMirja!$H$24)</f>
        <v>15</v>
      </c>
      <c r="Y17" s="98">
        <f>(RadfelderHenningMirja!$H$25)</f>
        <v>12</v>
      </c>
      <c r="Z17" s="98">
        <f>(RadfelderHenningMirja!$H$26)</f>
        <v>8</v>
      </c>
      <c r="AA17" s="98">
        <f>(RadfelderHenningMirja!$H$27)</f>
        <v>10</v>
      </c>
      <c r="AB17" s="98">
        <f>(RadfelderHenningMirja!$H$28)</f>
        <v>11</v>
      </c>
      <c r="AC17" s="98">
        <f>(RadfelderHenningMirja!$H$29)</f>
        <v>13</v>
      </c>
      <c r="AD17" s="98">
        <f>(RadfelderHenningMirja!$H$35)</f>
        <v>16</v>
      </c>
      <c r="AE17" s="101">
        <f>(RadfelderHenningMirja!$H$36)</f>
        <v>89.3</v>
      </c>
      <c r="AF17" s="152">
        <f ca="1">(RadfelderHenningMirja!$H$50)</f>
        <v>0</v>
      </c>
      <c r="AG17" s="105">
        <f ca="1">(RadfelderHenningMirja!$H$51)</f>
        <v>170.3</v>
      </c>
      <c r="AH17" s="137">
        <f t="shared" ca="1" si="0"/>
        <v>81</v>
      </c>
      <c r="AI17" s="150" t="s">
        <v>385</v>
      </c>
    </row>
    <row r="18" spans="1:39" x14ac:dyDescent="0.35">
      <c r="A18" s="156">
        <v>17</v>
      </c>
      <c r="B18" s="11" t="s">
        <v>371</v>
      </c>
      <c r="C18">
        <f>(LangnerSabrina!$H$1)</f>
        <v>2004</v>
      </c>
      <c r="D18">
        <f>(LangnerSabrina!$H$2)</f>
        <v>18</v>
      </c>
      <c r="E18" t="str">
        <f>(LangnerSabrina!$B$2)</f>
        <v>TSV Ganderkesee</v>
      </c>
      <c r="F18" s="98">
        <f>(LangnerSabrina!$H$4)</f>
        <v>10</v>
      </c>
      <c r="G18" s="98">
        <f>(LangnerSabrina!$H$5)</f>
        <v>10</v>
      </c>
      <c r="H18" s="98">
        <f>(LangnerSabrina!$H$6)</f>
        <v>10</v>
      </c>
      <c r="I18" s="98">
        <f>(LangnerSabrina!$H$7)</f>
        <v>5</v>
      </c>
      <c r="J18" s="98">
        <f>(LangnerSabrina!$H$8)</f>
        <v>5</v>
      </c>
      <c r="K18" s="98">
        <f>(LangnerSabrina!$H$9)</f>
        <v>40</v>
      </c>
      <c r="L18" s="98">
        <f>(LangnerSabrina!$H$11)</f>
        <v>1</v>
      </c>
      <c r="M18" s="98">
        <f>(LangnerSabrina!$H$12)</f>
        <v>0</v>
      </c>
      <c r="N18" s="98">
        <f>(LangnerSabrina!$H$13)</f>
        <v>10</v>
      </c>
      <c r="O18" s="98">
        <f>(LangnerSabrina!$H$14)</f>
        <v>10</v>
      </c>
      <c r="P18" s="98">
        <f>(LangnerSabrina!$H$15)</f>
        <v>7</v>
      </c>
      <c r="Q18" s="98">
        <f>(LangnerSabrina!$H$16)</f>
        <v>10</v>
      </c>
      <c r="R18" s="98">
        <f>(LangnerSabrina!$H$17)</f>
        <v>3</v>
      </c>
      <c r="S18" s="98">
        <f>(LangnerSabrina!$H$18)</f>
        <v>41</v>
      </c>
      <c r="T18" s="101">
        <f>(LangnerSabrina!$H$20)</f>
        <v>3.9499999999999957</v>
      </c>
      <c r="U18" s="98">
        <f>(LangnerSabrina!$H$21)</f>
        <v>0</v>
      </c>
      <c r="V18" s="98">
        <f>(LangnerSabrina!$H$22)</f>
        <v>0</v>
      </c>
      <c r="W18" s="98">
        <f>(LangnerSabrina!$H$23)</f>
        <v>0</v>
      </c>
      <c r="X18" s="98">
        <f>(LangnerSabrina!$H$24)</f>
        <v>11</v>
      </c>
      <c r="Y18" s="98">
        <f>(LangnerSabrina!$H$25)</f>
        <v>13</v>
      </c>
      <c r="Z18" s="98">
        <f>(LangnerSabrina!$H$26)</f>
        <v>0</v>
      </c>
      <c r="AA18" s="98">
        <f>(LangnerSabrina!$H$27)</f>
        <v>0</v>
      </c>
      <c r="AB18" s="98">
        <f>(LangnerSabrina!$H$28)</f>
        <v>0</v>
      </c>
      <c r="AC18" s="98">
        <f>(LangnerSabrina!$H$29)</f>
        <v>0</v>
      </c>
      <c r="AD18" s="98">
        <f>(LangnerSabrina!$H$35)</f>
        <v>6</v>
      </c>
      <c r="AE18" s="153">
        <f>(LangnerSabrina!$H$36)</f>
        <v>33.949999999999996</v>
      </c>
      <c r="AF18" s="152">
        <f ca="1">(LangnerSabrina!$H$50)</f>
        <v>0</v>
      </c>
      <c r="AG18" s="105">
        <f ca="1">(LangnerSabrina!$H$51)</f>
        <v>114.94999999999999</v>
      </c>
      <c r="AH18" s="137">
        <f t="shared" ca="1" si="0"/>
        <v>81</v>
      </c>
      <c r="AI18" s="150" t="s">
        <v>385</v>
      </c>
    </row>
    <row r="19" spans="1:39" x14ac:dyDescent="0.35">
      <c r="A19" s="156">
        <v>18</v>
      </c>
      <c r="B19" s="11" t="s">
        <v>403</v>
      </c>
      <c r="C19">
        <f>(FreyLuka!$H$1)</f>
        <v>2004</v>
      </c>
      <c r="D19">
        <f>(FreyLuka!$H$2)</f>
        <v>18</v>
      </c>
      <c r="E19" t="str">
        <f>(FreyLuka!$B$2)</f>
        <v>SV Brackwede</v>
      </c>
      <c r="F19" s="98">
        <f>(FreyLuka!$H$4)</f>
        <v>6</v>
      </c>
      <c r="G19" s="98">
        <f>(FreyLuka!$H$5)</f>
        <v>10</v>
      </c>
      <c r="H19" s="98">
        <f>(FreyLuka!$H$6)</f>
        <v>10</v>
      </c>
      <c r="I19" s="98">
        <f>(FreyLuka!$H$7)</f>
        <v>5</v>
      </c>
      <c r="J19" s="98">
        <f>(FreyLuka!$H$8)</f>
        <v>5</v>
      </c>
      <c r="K19" s="98">
        <f>(FreyLuka!$H$9)</f>
        <v>36</v>
      </c>
      <c r="L19" s="98">
        <f>(FreyLuka!$H$11)</f>
        <v>0</v>
      </c>
      <c r="M19" s="98">
        <f>(FreyLuka!$H$12)</f>
        <v>0</v>
      </c>
      <c r="N19" s="98">
        <f>(FreyLuka!$H$13)</f>
        <v>4</v>
      </c>
      <c r="O19" s="98">
        <f>(FreyLuka!$H$14)</f>
        <v>3</v>
      </c>
      <c r="P19" s="98">
        <f>(FreyLuka!$H$15)</f>
        <v>4</v>
      </c>
      <c r="Q19" s="98">
        <f>(FreyLuka!$H$16)</f>
        <v>10</v>
      </c>
      <c r="R19" s="98">
        <f>(FreyLuka!$H$17)</f>
        <v>0</v>
      </c>
      <c r="S19" s="98">
        <f>(FreyLuka!$H$18)</f>
        <v>21</v>
      </c>
      <c r="T19" s="101">
        <f>(FreyLuka!$H$20)</f>
        <v>0</v>
      </c>
      <c r="U19" s="98">
        <f>(FreyLuka!$H$21)</f>
        <v>0</v>
      </c>
      <c r="V19" s="98">
        <f>(FreyLuka!$H$22)</f>
        <v>0</v>
      </c>
      <c r="W19" s="98">
        <f>(FreyLuka!$H$23)</f>
        <v>0</v>
      </c>
      <c r="X19" s="98">
        <f>(FreyLuka!$H$24)</f>
        <v>11</v>
      </c>
      <c r="Y19" s="98">
        <f>(FreyLuka!$H$25)</f>
        <v>11</v>
      </c>
      <c r="Z19" s="98">
        <f>(FreyLuka!$H$26)</f>
        <v>8</v>
      </c>
      <c r="AA19" s="98">
        <f>(FreyLuka!$H$27)</f>
        <v>10</v>
      </c>
      <c r="AB19" s="98">
        <f>(FreyLuka!$H$28)</f>
        <v>0</v>
      </c>
      <c r="AC19" s="98">
        <f>(FreyLuka!$H$29)</f>
        <v>0</v>
      </c>
      <c r="AD19" s="98">
        <f>(FreyLuka!$H$35)</f>
        <v>17</v>
      </c>
      <c r="AE19" s="101">
        <f>(FreyLuka!$H$36)</f>
        <v>57</v>
      </c>
      <c r="AF19" s="152">
        <f ca="1">(FreyLuka!$H$50)</f>
        <v>0</v>
      </c>
      <c r="AG19" s="105">
        <f ca="1">(FreyLuka!$H$51)</f>
        <v>114</v>
      </c>
      <c r="AH19" s="137">
        <f t="shared" ca="1" si="0"/>
        <v>57</v>
      </c>
      <c r="AI19" s="151" t="s">
        <v>386</v>
      </c>
    </row>
    <row r="20" spans="1:39" x14ac:dyDescent="0.35">
      <c r="A20" s="156">
        <v>19</v>
      </c>
      <c r="B20" s="11" t="s">
        <v>379</v>
      </c>
      <c r="C20">
        <f>(SchuldtChristine!$H$1)</f>
        <v>2002</v>
      </c>
      <c r="D20">
        <f>(SchuldtChristine!$H$2)</f>
        <v>20</v>
      </c>
      <c r="E20" t="s">
        <v>378</v>
      </c>
      <c r="F20" s="98">
        <f>(SchuldtChristine!$H$4)</f>
        <v>0</v>
      </c>
      <c r="G20" s="98">
        <f>(SchuldtChristine!$H$5)</f>
        <v>0</v>
      </c>
      <c r="H20" s="98">
        <f>(SchuldtChristine!$H$6)</f>
        <v>0</v>
      </c>
      <c r="I20" s="98">
        <f>(SchuldtChristine!$H$7)</f>
        <v>0</v>
      </c>
      <c r="J20" s="98">
        <f>(SchuldtChristine!$H$8)</f>
        <v>0</v>
      </c>
      <c r="K20" s="98">
        <f>(SchuldtChristine!$H$9)</f>
        <v>0</v>
      </c>
      <c r="L20" s="98">
        <f>(SchuldtChristine!$H$11)</f>
        <v>0</v>
      </c>
      <c r="M20" s="98">
        <f>(SchuldtChristine!$H$12)</f>
        <v>0</v>
      </c>
      <c r="N20" s="98">
        <f>(SchuldtChristine!$H$13)</f>
        <v>0</v>
      </c>
      <c r="O20" s="98">
        <f>(SchuldtChristine!$H$14)</f>
        <v>0</v>
      </c>
      <c r="P20" s="98">
        <f>(SchuldtChristine!$H$15)</f>
        <v>0</v>
      </c>
      <c r="Q20" s="98">
        <f>(SchuldtChristine!$H$16)</f>
        <v>0</v>
      </c>
      <c r="R20" s="98">
        <f>(SchuldtChristine!$H$17)</f>
        <v>0</v>
      </c>
      <c r="S20" s="98">
        <f>(SchuldtChristine!$H$18)</f>
        <v>0</v>
      </c>
      <c r="T20" s="101">
        <f>(SchuldtChristine!$H$20)</f>
        <v>0</v>
      </c>
      <c r="U20" s="98">
        <f>(SchuldtChristine!$H$21)</f>
        <v>0</v>
      </c>
      <c r="V20" s="98">
        <f>(SchuldtChristine!$H$22)</f>
        <v>0</v>
      </c>
      <c r="W20" s="98">
        <f>(SchuldtChristine!$H$23)</f>
        <v>0</v>
      </c>
      <c r="X20" s="98">
        <f>(SchuldtChristine!$H$24)</f>
        <v>0</v>
      </c>
      <c r="Y20" s="98">
        <f>(SchuldtChristine!$H$25)</f>
        <v>0</v>
      </c>
      <c r="Z20" s="98">
        <f>(SchuldtChristine!$H$26)</f>
        <v>0</v>
      </c>
      <c r="AA20" s="98">
        <f>(SchuldtChristine!$H$27)</f>
        <v>0</v>
      </c>
      <c r="AB20" s="98">
        <f>(SchuldtChristine!$H$28)</f>
        <v>0</v>
      </c>
      <c r="AC20" s="98">
        <f>(SchuldtChristine!$H$29)</f>
        <v>0</v>
      </c>
      <c r="AD20" s="98">
        <f>(SchuldtChristine!$H$35)</f>
        <v>30</v>
      </c>
      <c r="AE20" s="101">
        <f>(SchuldtChristine!$H$36)</f>
        <v>30</v>
      </c>
      <c r="AF20" s="152">
        <f ca="1">(SchuldtChristine!$H$50)</f>
        <v>0</v>
      </c>
      <c r="AG20" s="105">
        <f ca="1">(SchuldtChristine!$H$51)</f>
        <v>30</v>
      </c>
      <c r="AH20" s="137">
        <f t="shared" ca="1" si="0"/>
        <v>0</v>
      </c>
      <c r="AJ20">
        <f>('Ronsiek-Niederbröcker, Hannah'!$B$76)</f>
        <v>0</v>
      </c>
      <c r="AK20">
        <f>('Ronsiek-Niederbröcker, Hannah'!$B$77)</f>
        <v>0</v>
      </c>
      <c r="AL20">
        <f>('Ronsiek-Niederbröcker, Hannah'!$B$78)</f>
        <v>0</v>
      </c>
      <c r="AM20">
        <f>('Ronsiek-Niederbröcker, Hannah'!$B$79)</f>
        <v>0</v>
      </c>
    </row>
    <row r="21" spans="1:39" x14ac:dyDescent="0.35">
      <c r="A21" s="156">
        <v>20</v>
      </c>
      <c r="AH21" s="137"/>
    </row>
    <row r="22" spans="1:39" x14ac:dyDescent="0.35">
      <c r="A22" s="156">
        <v>21</v>
      </c>
      <c r="AH22" s="137"/>
    </row>
    <row r="23" spans="1:39" x14ac:dyDescent="0.35">
      <c r="A23" s="156">
        <v>22</v>
      </c>
      <c r="AH23" s="137"/>
    </row>
    <row r="24" spans="1:39" x14ac:dyDescent="0.35">
      <c r="A24" s="156">
        <v>23</v>
      </c>
      <c r="AH24" s="137"/>
    </row>
    <row r="25" spans="1:39" x14ac:dyDescent="0.35">
      <c r="A25" s="156">
        <v>24</v>
      </c>
    </row>
    <row r="32" spans="1:39" x14ac:dyDescent="0.35">
      <c r="B32" s="140" t="s">
        <v>342</v>
      </c>
    </row>
    <row r="33" spans="2:2" x14ac:dyDescent="0.35">
      <c r="B33" s="141" t="s">
        <v>343</v>
      </c>
    </row>
    <row r="34" spans="2:2" x14ac:dyDescent="0.35">
      <c r="B34" s="142" t="s">
        <v>344</v>
      </c>
    </row>
    <row r="35" spans="2:2" x14ac:dyDescent="0.35">
      <c r="B35" s="139" t="s">
        <v>340</v>
      </c>
    </row>
    <row r="36" spans="2:2" x14ac:dyDescent="0.35">
      <c r="B36" t="s">
        <v>341</v>
      </c>
    </row>
    <row r="37" spans="2:2" x14ac:dyDescent="0.35">
      <c r="B37" s="143" t="s">
        <v>345</v>
      </c>
    </row>
  </sheetData>
  <autoFilter ref="A1:AI38" xr:uid="{00000000-0001-0000-0100-000000000000}">
    <sortState xmlns:xlrd2="http://schemas.microsoft.com/office/spreadsheetml/2017/richdata2" ref="A2:AI37">
      <sortCondition descending="1" ref="AH1:AH38"/>
    </sortState>
  </autoFilter>
  <sortState xmlns:xlrd2="http://schemas.microsoft.com/office/spreadsheetml/2017/richdata2" ref="A2:AI25">
    <sortCondition descending="1" ref="C2:C25"/>
    <sortCondition descending="1" ref="AH2:AH25"/>
  </sortState>
  <hyperlinks>
    <hyperlink ref="B10" location="BachmannRieke!A1" display="Bachmann, Rieke " xr:uid="{3638174F-8FD8-4006-8F6B-5BB07D266399}"/>
    <hyperlink ref="B2" location="SteinbrennerGreta!A1" display="Steinbrenner, Greta" xr:uid="{3E4763A7-51BE-4B55-B398-6B3681EE5075}"/>
    <hyperlink ref="B3" location="XingHohmannThea!A1" display="Xing Hohmann, Thea" xr:uid="{D71A0B66-484B-4809-AEBF-C84DB984E513}"/>
    <hyperlink ref="B16" location="MelnichukAlexandra!A1" display="Melnichuk, Alexandra" xr:uid="{44F54DF2-3485-4DBD-8DAF-489FA151DF3D}"/>
    <hyperlink ref="B7" location="VolskaNikola!A1" display="Volska, Nikola" xr:uid="{A09F0D90-0E1E-4C74-A82A-3C50287B50DD}"/>
    <hyperlink ref="B5" location="HeringPauline!A1" display="Hering, Pauline" xr:uid="{BDDA3B1C-E8FE-43A2-B067-6E332A1B99F6}"/>
    <hyperlink ref="B12" location="HirschLiska!A1" display="Hirsch, Liska" xr:uid="{106AFB3F-484B-40E7-8628-233B19973A27}"/>
    <hyperlink ref="B4" location="EislöffelAurelia!A1" display="Eislöffel, Aurelia" xr:uid="{A7132BC1-8ABC-4CFA-BDB4-211135596297}"/>
    <hyperlink ref="B15" location="SchneiderFiona!A1" display="Schneider, Fiona " xr:uid="{1EC871EE-E6DC-42AD-8BD4-EB8BA7ADA5BD}"/>
    <hyperlink ref="B18" location="LangnerSabrina!A1" display="Langner, Sabrina" xr:uid="{7A68F3D6-A3B7-4E69-8D9D-045E03640169}"/>
    <hyperlink ref="B14" location="BraafLuisa!A1" display="Braaf, Luisa" xr:uid="{4329BECF-9B97-4BC1-9AE6-7C302917FEC4}"/>
    <hyperlink ref="B13" location="StöhrGabriela!A1" display="Stöhr, Gabriela" xr:uid="{D49068A0-32C1-4833-8827-3DA290D73883}"/>
    <hyperlink ref="B17" location="RadfelderHenningMirja!A1" display="Radfelder-Henning, Mirja" xr:uid="{D3B5B8DE-370A-4598-9075-4FA7D72DF6C0}"/>
    <hyperlink ref="B9" location="MöllerMaya!A1" display="Möller, Maya" xr:uid="{D7006CC8-1687-4103-91EB-1A9726B85494}"/>
    <hyperlink ref="B20" location="SchuldtChristine!A1" display="Schuldt, Christine " xr:uid="{11E80E46-2A49-46F0-B51C-295976408D15}"/>
    <hyperlink ref="B19" location="FreyLuka!A1" display="Frey, Luka " xr:uid="{06E6A5E7-0E88-4090-B4F9-62B8FC23B2D4}"/>
    <hyperlink ref="B6" location="RamacheMarrit!A1" display="Ramache, Marrit" xr:uid="{0BD92EA7-16C4-4E75-B18B-2D5F839F30A6}"/>
    <hyperlink ref="B8" location="TotzkeViona!A1" display="Totzke, Viona" xr:uid="{A2023E41-244B-410B-8F8E-90D475D56B33}"/>
    <hyperlink ref="B11" location="RosHannah!A1" display="Ros, Hannah" xr:uid="{A03C8C40-0A50-49D5-80EE-C238991661AB}"/>
  </hyperlinks>
  <pageMargins left="0.7" right="0.7" top="0.78740157499999996" bottom="0.78740157499999996" header="0.3" footer="0.3"/>
  <pageSetup paperSize="9" orientation="portrait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31927-1F8F-4D1B-A8E3-48A4A79B500D}">
  <sheetPr codeName="Tabelle13">
    <tabColor indexed="47"/>
    <pageSetUpPr fitToPage="1"/>
  </sheetPr>
  <dimension ref="A1:J70"/>
  <sheetViews>
    <sheetView zoomScale="85" zoomScaleNormal="85" workbookViewId="0">
      <pane ySplit="2" topLeftCell="A36" activePane="bottomLeft" state="frozen"/>
      <selection sqref="A1:H1"/>
      <selection pane="bottomLeft" activeCell="F38" sqref="F38"/>
    </sheetView>
  </sheetViews>
  <sheetFormatPr baseColWidth="10" defaultColWidth="0" defaultRowHeight="14.5" zeroHeight="1" outlineLevelRow="1" x14ac:dyDescent="0.35"/>
  <cols>
    <col min="1" max="1" width="11.453125" customWidth="1"/>
    <col min="2" max="2" width="12.1796875" customWidth="1"/>
    <col min="3" max="3" width="44.81640625" bestFit="1" customWidth="1"/>
    <col min="4" max="5" width="11.453125" style="148" customWidth="1"/>
    <col min="6" max="6" width="16.1796875" style="148" bestFit="1" customWidth="1"/>
    <col min="7" max="7" width="13.81640625" style="148" customWidth="1"/>
    <col min="8" max="8" width="11.453125" customWidth="1"/>
    <col min="9" max="9" width="6.1796875" style="23" hidden="1" customWidth="1"/>
    <col min="10" max="10" width="0" hidden="1" customWidth="1"/>
    <col min="11" max="16384" width="11.453125" hidden="1"/>
  </cols>
  <sheetData>
    <row r="1" spans="1:8" ht="15.5" x14ac:dyDescent="0.35">
      <c r="A1" s="16" t="s">
        <v>1</v>
      </c>
      <c r="B1" s="186" t="s">
        <v>360</v>
      </c>
      <c r="C1" s="187"/>
      <c r="D1" s="187"/>
      <c r="E1" s="188"/>
      <c r="F1" s="51" t="s">
        <v>97</v>
      </c>
      <c r="G1" s="61" t="s">
        <v>24</v>
      </c>
      <c r="H1" s="63">
        <v>2009</v>
      </c>
    </row>
    <row r="2" spans="1:8" ht="16" thickBot="1" x14ac:dyDescent="0.4">
      <c r="A2" s="17" t="s">
        <v>4</v>
      </c>
      <c r="B2" s="198" t="s">
        <v>361</v>
      </c>
      <c r="C2" s="199"/>
      <c r="D2" s="199"/>
      <c r="E2" s="199"/>
      <c r="F2" s="200"/>
      <c r="G2" s="62" t="s">
        <v>3</v>
      </c>
      <c r="H2" s="64">
        <f>2022-H1</f>
        <v>13</v>
      </c>
    </row>
    <row r="3" spans="1:8" ht="15" outlineLevel="1" thickBot="1" x14ac:dyDescent="0.4">
      <c r="A3" s="189" t="s">
        <v>26</v>
      </c>
      <c r="B3" s="190"/>
      <c r="C3" s="190"/>
      <c r="D3" s="190"/>
      <c r="E3" s="191"/>
      <c r="F3" s="46" t="s">
        <v>27</v>
      </c>
      <c r="G3" s="47" t="s">
        <v>28</v>
      </c>
      <c r="H3" s="22" t="s">
        <v>234</v>
      </c>
    </row>
    <row r="4" spans="1:8" outlineLevel="1" x14ac:dyDescent="0.35">
      <c r="A4" s="192" t="s">
        <v>30</v>
      </c>
      <c r="B4" s="193"/>
      <c r="C4" s="193"/>
      <c r="D4" s="193"/>
      <c r="E4" s="194"/>
      <c r="F4" s="25">
        <v>10</v>
      </c>
      <c r="G4" s="55" t="s">
        <v>32</v>
      </c>
      <c r="H4" s="34">
        <f>F4</f>
        <v>10</v>
      </c>
    </row>
    <row r="5" spans="1:8" outlineLevel="1" x14ac:dyDescent="0.35">
      <c r="A5" s="195" t="s">
        <v>85</v>
      </c>
      <c r="B5" s="196"/>
      <c r="C5" s="196"/>
      <c r="D5" s="196"/>
      <c r="E5" s="197"/>
      <c r="F5" s="14">
        <v>6</v>
      </c>
      <c r="G5" s="56" t="s">
        <v>32</v>
      </c>
      <c r="H5" s="35">
        <f>F5</f>
        <v>6</v>
      </c>
    </row>
    <row r="6" spans="1:8" outlineLevel="1" x14ac:dyDescent="0.35">
      <c r="A6" s="195" t="s">
        <v>33</v>
      </c>
      <c r="B6" s="196"/>
      <c r="C6" s="196"/>
      <c r="D6" s="196"/>
      <c r="E6" s="197"/>
      <c r="F6" s="14">
        <v>13</v>
      </c>
      <c r="G6" s="56" t="s">
        <v>31</v>
      </c>
      <c r="H6" s="35">
        <f>IF(F6="",0,VLOOKUP(F6,Punktetabellen!A10:B15,2,1))</f>
        <v>2</v>
      </c>
    </row>
    <row r="7" spans="1:8" outlineLevel="1" x14ac:dyDescent="0.35">
      <c r="A7" s="195" t="s">
        <v>34</v>
      </c>
      <c r="B7" s="196"/>
      <c r="C7" s="196"/>
      <c r="D7" s="196"/>
      <c r="E7" s="197"/>
      <c r="F7" s="14" t="s">
        <v>86</v>
      </c>
      <c r="G7" s="56" t="s">
        <v>31</v>
      </c>
      <c r="H7" s="35">
        <f>IF(F7="",0,VLOOKUP(F7,Punktetabellen!A3:B6,2,0))</f>
        <v>4</v>
      </c>
    </row>
    <row r="8" spans="1:8" ht="15" outlineLevel="1" thickBot="1" x14ac:dyDescent="0.4">
      <c r="A8" s="204" t="s">
        <v>35</v>
      </c>
      <c r="B8" s="205"/>
      <c r="C8" s="205"/>
      <c r="D8" s="205"/>
      <c r="E8" s="206"/>
      <c r="F8" s="41" t="s">
        <v>87</v>
      </c>
      <c r="G8" s="57" t="s">
        <v>31</v>
      </c>
      <c r="H8" s="36">
        <f>IF(F8="",0,VLOOKUP(F8,Punktetabellen!A3:B6,2,0))</f>
        <v>3</v>
      </c>
    </row>
    <row r="9" spans="1:8" ht="15" thickBot="1" x14ac:dyDescent="0.4">
      <c r="A9" s="210" t="s">
        <v>36</v>
      </c>
      <c r="B9" s="211"/>
      <c r="C9" s="211"/>
      <c r="D9" s="211"/>
      <c r="E9" s="211"/>
      <c r="F9" s="211"/>
      <c r="G9" s="211"/>
      <c r="H9" s="48">
        <f>SUM(H4:H8)</f>
        <v>25</v>
      </c>
    </row>
    <row r="10" spans="1:8" ht="15" outlineLevel="1" thickBot="1" x14ac:dyDescent="0.4">
      <c r="A10" s="189" t="s">
        <v>26</v>
      </c>
      <c r="B10" s="190"/>
      <c r="C10" s="190"/>
      <c r="D10" s="190"/>
      <c r="E10" s="191"/>
      <c r="F10" s="46" t="s">
        <v>27</v>
      </c>
      <c r="G10" s="47" t="s">
        <v>28</v>
      </c>
      <c r="H10" s="22" t="s">
        <v>234</v>
      </c>
    </row>
    <row r="11" spans="1:8" outlineLevel="1" x14ac:dyDescent="0.35">
      <c r="A11" s="207" t="s">
        <v>37</v>
      </c>
      <c r="B11" s="208"/>
      <c r="C11" s="208"/>
      <c r="D11" s="208"/>
      <c r="E11" s="209"/>
      <c r="F11" s="26">
        <v>1</v>
      </c>
      <c r="G11" s="58" t="s">
        <v>31</v>
      </c>
      <c r="H11" s="37">
        <f>IF($F11="",0,VLOOKUP($F11,Pkte_Klimmzug[],$H$2,1))</f>
        <v>0</v>
      </c>
    </row>
    <row r="12" spans="1:8" outlineLevel="1" x14ac:dyDescent="0.35">
      <c r="A12" s="201" t="s">
        <v>38</v>
      </c>
      <c r="B12" s="202"/>
      <c r="C12" s="202"/>
      <c r="D12" s="202"/>
      <c r="E12" s="203"/>
      <c r="F12" s="27">
        <v>0</v>
      </c>
      <c r="G12" s="59" t="s">
        <v>31</v>
      </c>
      <c r="H12" s="38">
        <f>IF($F12="",0,VLOOKUP($F12,Pkte_Beinheben[],$H$2,1))</f>
        <v>0</v>
      </c>
    </row>
    <row r="13" spans="1:8" outlineLevel="1" x14ac:dyDescent="0.35">
      <c r="A13" s="201" t="s">
        <v>88</v>
      </c>
      <c r="B13" s="202"/>
      <c r="C13" s="202"/>
      <c r="D13" s="202"/>
      <c r="E13" s="203"/>
      <c r="F13" s="27">
        <v>70</v>
      </c>
      <c r="G13" s="59" t="s">
        <v>31</v>
      </c>
      <c r="H13" s="38">
        <f>IF($F13="",0,VLOOKUP($F13,Pkte_Flieger[],$H$2,1))</f>
        <v>4</v>
      </c>
    </row>
    <row r="14" spans="1:8" outlineLevel="1" x14ac:dyDescent="0.35">
      <c r="A14" s="201" t="s">
        <v>39</v>
      </c>
      <c r="B14" s="202"/>
      <c r="C14" s="202"/>
      <c r="D14" s="202"/>
      <c r="E14" s="203"/>
      <c r="F14" s="27">
        <v>23</v>
      </c>
      <c r="G14" s="59" t="s">
        <v>31</v>
      </c>
      <c r="H14" s="38">
        <f>IF($F14="",0,VLOOKUP($F14,Pkte_Rollenverbindung[],$H$2,1))</f>
        <v>9</v>
      </c>
    </row>
    <row r="15" spans="1:8" outlineLevel="1" x14ac:dyDescent="0.35">
      <c r="A15" s="201" t="s">
        <v>89</v>
      </c>
      <c r="B15" s="202"/>
      <c r="C15" s="202"/>
      <c r="D15" s="202"/>
      <c r="E15" s="203"/>
      <c r="F15" s="27">
        <v>40</v>
      </c>
      <c r="G15" s="59" t="s">
        <v>31</v>
      </c>
      <c r="H15" s="38">
        <f>IF($F15="",0,VLOOKUP($F15,Pkte_Prellsprung[],$H$2,1))</f>
        <v>10</v>
      </c>
    </row>
    <row r="16" spans="1:8" outlineLevel="1" x14ac:dyDescent="0.35">
      <c r="A16" s="201" t="s">
        <v>90</v>
      </c>
      <c r="B16" s="202"/>
      <c r="C16" s="202"/>
      <c r="D16" s="202"/>
      <c r="E16" s="203"/>
      <c r="F16" s="28">
        <v>25</v>
      </c>
      <c r="G16" s="59" t="s">
        <v>31</v>
      </c>
      <c r="H16" s="38">
        <f>IF($F16="",0,VLOOKUP($F16,Pkte_Handstand[],$H$2,1))</f>
        <v>8</v>
      </c>
    </row>
    <row r="17" spans="1:8" ht="15" outlineLevel="1" thickBot="1" x14ac:dyDescent="0.4">
      <c r="A17" s="112" t="s">
        <v>93</v>
      </c>
      <c r="B17" s="113"/>
      <c r="C17" s="114" t="s">
        <v>269</v>
      </c>
      <c r="D17" s="29">
        <v>8</v>
      </c>
      <c r="E17" s="115" t="s">
        <v>270</v>
      </c>
      <c r="F17" s="29">
        <v>1</v>
      </c>
      <c r="G17" s="60" t="s">
        <v>31</v>
      </c>
      <c r="H17" s="39">
        <f>IF($F17="",0,IF($F$1="weiblich",VLOOKUP((100*$D17+$F17),Pkte_Shuttle_W[],$H$2,1),VLOOKUP((100*$D17+$F17),Pkte_Shuttle_M[],$H$2,1)))</f>
        <v>7</v>
      </c>
    </row>
    <row r="18" spans="1:8" ht="15" thickBot="1" x14ac:dyDescent="0.4">
      <c r="A18" s="161" t="s">
        <v>40</v>
      </c>
      <c r="B18" s="162"/>
      <c r="C18" s="162"/>
      <c r="D18" s="162"/>
      <c r="E18" s="162"/>
      <c r="F18" s="162"/>
      <c r="G18" s="162"/>
      <c r="H18" s="48">
        <f>SUM(H12:H17)</f>
        <v>38</v>
      </c>
    </row>
    <row r="19" spans="1:8" ht="15" outlineLevel="1" thickBot="1" x14ac:dyDescent="0.4">
      <c r="A19" s="159" t="s">
        <v>26</v>
      </c>
      <c r="B19" s="160"/>
      <c r="C19" s="160"/>
      <c r="D19" s="85" t="s">
        <v>235</v>
      </c>
      <c r="E19" s="85" t="s">
        <v>238</v>
      </c>
      <c r="F19" s="85" t="s">
        <v>236</v>
      </c>
      <c r="G19" s="86" t="s">
        <v>28</v>
      </c>
      <c r="H19" s="49" t="s">
        <v>234</v>
      </c>
    </row>
    <row r="20" spans="1:8" outlineLevel="1" x14ac:dyDescent="0.35">
      <c r="A20" s="167" t="s">
        <v>148</v>
      </c>
      <c r="B20" s="168"/>
      <c r="C20" s="116" t="str">
        <f>Infos!A10</f>
        <v>Druckmessplatte</v>
      </c>
      <c r="D20" s="90">
        <f>IF(F1="männlich",VLOOKUP(H2,Standsprünge!A3:C15,3,0),VLOOKUP(H2,Standsprünge!A3:B15,2,0))+IF(C20="Druckmessplatte",0)</f>
        <v>15.1</v>
      </c>
      <c r="E20" s="90"/>
      <c r="F20" s="67">
        <v>16.38</v>
      </c>
      <c r="G20" s="91" t="s">
        <v>149</v>
      </c>
      <c r="H20" s="88">
        <f>IF(F20="",0,(F20-D20)*10)</f>
        <v>12.799999999999994</v>
      </c>
    </row>
    <row r="21" spans="1:8" outlineLevel="1" x14ac:dyDescent="0.35">
      <c r="A21" s="165" t="str">
        <f>IF(H2&gt;15,"entfällt","TBN")</f>
        <v>TBN</v>
      </c>
      <c r="B21" s="166"/>
      <c r="C21" s="77" t="s">
        <v>178</v>
      </c>
      <c r="D21" s="78">
        <v>9</v>
      </c>
      <c r="E21" s="78">
        <v>6</v>
      </c>
      <c r="F21" s="42">
        <v>2</v>
      </c>
      <c r="G21" s="71" t="str">
        <f>IF(H2&gt;16,"entfällt","Wert - Abzug")</f>
        <v>Wert - Abzug</v>
      </c>
      <c r="H21" s="66">
        <f>IF(A21="entfällt",0,IF(F21="",0,D21-F21))</f>
        <v>7</v>
      </c>
    </row>
    <row r="22" spans="1:8" outlineLevel="1" x14ac:dyDescent="0.35">
      <c r="A22" s="165" t="str">
        <f>IF(H2&gt;15,"entfällt","TBN")</f>
        <v>TBN</v>
      </c>
      <c r="B22" s="166"/>
      <c r="C22" s="77" t="s">
        <v>348</v>
      </c>
      <c r="D22" s="78">
        <v>10</v>
      </c>
      <c r="E22" s="78">
        <v>6</v>
      </c>
      <c r="F22" s="42">
        <v>2</v>
      </c>
      <c r="G22" s="71" t="str">
        <f>IF(H2&gt;16,"entfällt","Wert - Abzug")</f>
        <v>Wert - Abzug</v>
      </c>
      <c r="H22" s="66">
        <f t="shared" ref="H22:H28" si="0">IF(A22="entfällt",0,IF(F22="",0,D22-F22))</f>
        <v>8</v>
      </c>
    </row>
    <row r="23" spans="1:8" outlineLevel="1" x14ac:dyDescent="0.35">
      <c r="A23" s="165" t="str">
        <f>IF(H2&gt;11,"entfällt","TBN")</f>
        <v>entfällt</v>
      </c>
      <c r="B23" s="166"/>
      <c r="C23" s="77"/>
      <c r="D23" s="78" t="str">
        <f ca="1">IF(C23="","",VLOOKUP(C23,INDIRECT($C$57),2,0))</f>
        <v/>
      </c>
      <c r="E23" s="78" t="str">
        <f ca="1">IF(C23="","",VLOOKUP(C23,INDIRECT($C$57),3,0))</f>
        <v/>
      </c>
      <c r="F23" s="42"/>
      <c r="G23" s="71" t="str">
        <f>IF(H2&gt;16,"entfällt","Wert - Abzug")</f>
        <v>Wert - Abzug</v>
      </c>
      <c r="H23" s="66">
        <f t="shared" si="0"/>
        <v>0</v>
      </c>
    </row>
    <row r="24" spans="1:8" outlineLevel="1" x14ac:dyDescent="0.35">
      <c r="A24" s="110" t="s">
        <v>147</v>
      </c>
      <c r="B24" s="111"/>
      <c r="C24" s="77" t="s">
        <v>179</v>
      </c>
      <c r="D24" s="78">
        <v>11</v>
      </c>
      <c r="E24" s="78">
        <v>6</v>
      </c>
      <c r="F24" s="42">
        <v>2</v>
      </c>
      <c r="G24" s="71" t="s">
        <v>146</v>
      </c>
      <c r="H24" s="66">
        <f t="shared" si="0"/>
        <v>9</v>
      </c>
    </row>
    <row r="25" spans="1:8" outlineLevel="1" x14ac:dyDescent="0.35">
      <c r="A25" s="110" t="s">
        <v>147</v>
      </c>
      <c r="B25" s="111"/>
      <c r="C25" s="77" t="s">
        <v>180</v>
      </c>
      <c r="D25" s="78">
        <v>13</v>
      </c>
      <c r="E25" s="78">
        <v>6</v>
      </c>
      <c r="F25" s="42">
        <v>2</v>
      </c>
      <c r="G25" s="71" t="s">
        <v>146</v>
      </c>
      <c r="H25" s="66">
        <f t="shared" si="0"/>
        <v>11</v>
      </c>
    </row>
    <row r="26" spans="1:8" outlineLevel="1" x14ac:dyDescent="0.35">
      <c r="A26" s="110" t="s">
        <v>147</v>
      </c>
      <c r="B26" s="111"/>
      <c r="C26" s="77" t="s">
        <v>181</v>
      </c>
      <c r="D26" s="78">
        <v>12</v>
      </c>
      <c r="E26" s="78">
        <v>6</v>
      </c>
      <c r="F26" s="42">
        <v>4</v>
      </c>
      <c r="G26" s="71" t="s">
        <v>146</v>
      </c>
      <c r="H26" s="66">
        <f t="shared" si="0"/>
        <v>8</v>
      </c>
    </row>
    <row r="27" spans="1:8" outlineLevel="1" x14ac:dyDescent="0.35">
      <c r="A27" s="110" t="str">
        <f>IF(H2&gt;11,"TN","entfällt")</f>
        <v>TN</v>
      </c>
      <c r="B27" s="111"/>
      <c r="C27" s="77" t="s">
        <v>62</v>
      </c>
      <c r="D27" s="78">
        <v>15</v>
      </c>
      <c r="E27" s="78">
        <v>6</v>
      </c>
      <c r="F27" s="42">
        <v>4</v>
      </c>
      <c r="G27" s="71" t="str">
        <f>IF(H2&gt;12,"Wert - Abzug","entfällt")</f>
        <v>Wert - Abzug</v>
      </c>
      <c r="H27" s="66">
        <f t="shared" si="0"/>
        <v>11</v>
      </c>
    </row>
    <row r="28" spans="1:8" outlineLevel="1" x14ac:dyDescent="0.35">
      <c r="A28" s="110" t="str">
        <f>IF(H2&gt;15,"TN","entfällt")</f>
        <v>entfällt</v>
      </c>
      <c r="B28" s="111"/>
      <c r="C28" s="77"/>
      <c r="D28" s="78"/>
      <c r="E28" s="78"/>
      <c r="F28" s="42"/>
      <c r="G28" s="71" t="str">
        <f>IF(H2&gt;16,"Wert - Abzug","entfällt")</f>
        <v>entfällt</v>
      </c>
      <c r="H28" s="66">
        <f t="shared" si="0"/>
        <v>0</v>
      </c>
    </row>
    <row r="29" spans="1:8" outlineLevel="1" x14ac:dyDescent="0.35">
      <c r="A29" s="110" t="str">
        <f>IF(H2&gt;15,"TN","entfällt")</f>
        <v>entfällt</v>
      </c>
      <c r="B29" s="111"/>
      <c r="C29" s="77"/>
      <c r="D29" s="78"/>
      <c r="E29" s="78"/>
      <c r="F29" s="42"/>
      <c r="G29" s="71" t="str">
        <f>IF(H2&gt;16,"Wert - Abzug","entfällt")</f>
        <v>entfällt</v>
      </c>
      <c r="H29" s="66">
        <f>IF(A29="entfällt",0,IF(F29="",0,D29-F29))</f>
        <v>0</v>
      </c>
    </row>
    <row r="30" spans="1:8" outlineLevel="1" x14ac:dyDescent="0.35">
      <c r="A30" s="165" t="str">
        <f>IF($H$2&gt;10,"Verbindung Sprung 1","entfällt")</f>
        <v>Verbindung Sprung 1</v>
      </c>
      <c r="B30" s="166"/>
      <c r="C30" s="40" t="str">
        <f ca="1">IF(A30&lt;&gt;"entfällt",VLOOKUP(1,INDIRECT($C$68),2,0),"")</f>
        <v>40/</v>
      </c>
      <c r="D30" s="40">
        <f ca="1">IF(A30&lt;&gt;"entfällt",VLOOKUP(1,INDIRECT($C$68),3,0),"")</f>
        <v>6</v>
      </c>
      <c r="E30" s="40">
        <f ca="1">IF(A30&lt;&gt;"entfällt",VLOOKUP(1,INDIRECT($C$68),4,0),"")</f>
        <v>3</v>
      </c>
      <c r="F30" s="42">
        <v>2</v>
      </c>
      <c r="G30" s="71" t="str">
        <f>IF(H2&gt;12,"Wert - Abzug","entfällt")</f>
        <v>Wert - Abzug</v>
      </c>
      <c r="H30" s="66"/>
    </row>
    <row r="31" spans="1:8" outlineLevel="1" x14ac:dyDescent="0.35">
      <c r="A31" s="165" t="str">
        <f>IF($H$2&gt;10,"Verbindung Sprung 2","entfällt")</f>
        <v>Verbindung Sprung 2</v>
      </c>
      <c r="B31" s="166"/>
      <c r="C31" s="40" t="str">
        <f ca="1">IF(A31&lt;&gt;"entfällt",VLOOKUP(2,INDIRECT($C$68),2,0),"")</f>
        <v>41/</v>
      </c>
      <c r="D31" s="40">
        <f ca="1">IF(A31&lt;&gt;"entfällt",VLOOKUP(2,INDIRECT($C$68),3,0),"")</f>
        <v>6</v>
      </c>
      <c r="E31" s="40">
        <f ca="1">IF(A31&lt;&gt;"entfällt",VLOOKUP(2,INDIRECT($C$68),4,0),"")</f>
        <v>3</v>
      </c>
      <c r="F31" s="42">
        <v>1</v>
      </c>
      <c r="G31" s="71" t="str">
        <f>IF(H2&gt;12,"Wert - Abzug","entfällt")</f>
        <v>Wert - Abzug</v>
      </c>
      <c r="H31" s="66"/>
    </row>
    <row r="32" spans="1:8" outlineLevel="1" x14ac:dyDescent="0.35">
      <c r="A32" s="165" t="str">
        <f>IF($H$2&gt;10,"Verbindung Sprung 3","entfällt")</f>
        <v>Verbindung Sprung 3</v>
      </c>
      <c r="B32" s="166"/>
      <c r="C32" s="40" t="str">
        <f ca="1">IF(A32&lt;&gt;"entfällt",VLOOKUP(3,INDIRECT($C$68),2,0),"")</f>
        <v>42/</v>
      </c>
      <c r="D32" s="40">
        <f ca="1">IF(A32&lt;&gt;"entfällt",VLOOKUP(3,INDIRECT($C$68),3,0),"")</f>
        <v>7</v>
      </c>
      <c r="E32" s="40">
        <f ca="1">IF(A32&lt;&gt;"entfällt",VLOOKUP(3,INDIRECT($C$68),4,0),"")</f>
        <v>3</v>
      </c>
      <c r="F32" s="42">
        <v>1</v>
      </c>
      <c r="G32" s="71" t="str">
        <f>IF(H2&gt;12,"Wert - Abzug","entfällt")</f>
        <v>Wert - Abzug</v>
      </c>
      <c r="H32" s="66"/>
    </row>
    <row r="33" spans="1:8" outlineLevel="1" x14ac:dyDescent="0.35">
      <c r="A33" s="165" t="str">
        <f>IF($H$2&gt;10,"Verbindung Sprung 4","entfällt")</f>
        <v>Verbindung Sprung 4</v>
      </c>
      <c r="B33" s="166"/>
      <c r="C33" s="40" t="str">
        <f ca="1">IF(A33&lt;&gt;"entfällt",VLOOKUP(4,INDIRECT($C$68),2,0),"")</f>
        <v>40°</v>
      </c>
      <c r="D33" s="40">
        <f ca="1">IF(A33&lt;&gt;"entfällt",VLOOKUP(4,INDIRECT($C$68),3,0),"")</f>
        <v>5</v>
      </c>
      <c r="E33" s="40">
        <f ca="1">IF(A33&lt;&gt;"entfällt",VLOOKUP(4,INDIRECT($C$68),4,0),"")</f>
        <v>3</v>
      </c>
      <c r="F33" s="42">
        <v>2</v>
      </c>
      <c r="G33" s="71" t="str">
        <f>IF(H2&gt;12,"Wert - Abzug","entfällt")</f>
        <v>Wert - Abzug</v>
      </c>
      <c r="H33" s="66"/>
    </row>
    <row r="34" spans="1:8" outlineLevel="1" x14ac:dyDescent="0.35">
      <c r="A34" s="165" t="str">
        <f>IF($H$2&gt;10,"Verbindung Sprung 5","entfällt")</f>
        <v>Verbindung Sprung 5</v>
      </c>
      <c r="B34" s="166"/>
      <c r="C34" s="40" t="str">
        <f ca="1">IF(A34&lt;&gt;"entfällt",VLOOKUP(5,INDIRECT($C$68),2,0),"")</f>
        <v>41°</v>
      </c>
      <c r="D34" s="40">
        <f ca="1">IF(A34&lt;&gt;"entfällt",VLOOKUP(5,INDIRECT($C$68),3,0),"")</f>
        <v>6</v>
      </c>
      <c r="E34" s="40">
        <f ca="1">IF(A34&lt;&gt;"entfällt",VLOOKUP(5,INDIRECT($C$68),4,0),"")</f>
        <v>3</v>
      </c>
      <c r="F34" s="42">
        <v>3</v>
      </c>
      <c r="G34" s="71" t="str">
        <f>IF(H2&gt;12,"Wert - Abzug","entfällt")</f>
        <v>Wert - Abzug</v>
      </c>
      <c r="H34" s="66"/>
    </row>
    <row r="35" spans="1:8" ht="15" outlineLevel="1" thickBot="1" x14ac:dyDescent="0.4">
      <c r="A35" s="171" t="str">
        <f>IF($H$2&gt;10,"Verbindung Sprung 6","entfällt")</f>
        <v>Verbindung Sprung 6</v>
      </c>
      <c r="B35" s="172"/>
      <c r="C35" s="68" t="str">
        <f ca="1">IF(A35&lt;&gt;"entfällt",VLOOKUP(6,INDIRECT($C$68),2,0),"")</f>
        <v>800°</v>
      </c>
      <c r="D35" s="68">
        <f ca="1">IF(A35&lt;&gt;"entfällt",VLOOKUP(6,INDIRECT($C$68),3,0),"")</f>
        <v>10</v>
      </c>
      <c r="E35" s="68">
        <f ca="1">IF(A35&lt;&gt;"entfällt",VLOOKUP(6,INDIRECT($C$68),4,0),"")</f>
        <v>3</v>
      </c>
      <c r="F35" s="69">
        <v>2</v>
      </c>
      <c r="G35" s="72" t="str">
        <f>IF(H2&gt;12,"Wert - Abzug","entfällt")</f>
        <v>Wert - Abzug</v>
      </c>
      <c r="H35" s="70">
        <f>30-F30-F31-F32-F33-F34-F35</f>
        <v>19</v>
      </c>
    </row>
    <row r="36" spans="1:8" ht="15" thickBot="1" x14ac:dyDescent="0.4">
      <c r="A36" s="173" t="s">
        <v>41</v>
      </c>
      <c r="B36" s="174"/>
      <c r="C36" s="174"/>
      <c r="D36" s="174"/>
      <c r="E36" s="174"/>
      <c r="F36" s="174"/>
      <c r="G36" s="175"/>
      <c r="H36" s="89">
        <f>SUM(H20:H35)</f>
        <v>85.8</v>
      </c>
    </row>
    <row r="37" spans="1:8" ht="15" outlineLevel="1" thickBot="1" x14ac:dyDescent="0.4">
      <c r="A37" s="181" t="s">
        <v>99</v>
      </c>
      <c r="B37" s="182"/>
      <c r="C37" s="182"/>
      <c r="D37" s="183"/>
      <c r="E37" s="85" t="s">
        <v>27</v>
      </c>
      <c r="F37" s="85" t="s">
        <v>237</v>
      </c>
      <c r="G37" s="86" t="s">
        <v>28</v>
      </c>
      <c r="H37" s="49" t="s">
        <v>234</v>
      </c>
    </row>
    <row r="38" spans="1:8" outlineLevel="1" x14ac:dyDescent="0.35">
      <c r="A38" s="179" t="str">
        <f ca="1">VLOOKUP(1,INDIRECT($C$65),2,0)</f>
        <v>Salto vorwärts mit Anlauf</v>
      </c>
      <c r="B38" s="180"/>
      <c r="C38" s="180"/>
      <c r="D38" s="180"/>
      <c r="E38" s="92">
        <f ca="1">VLOOKUP(1,INDIRECT($C$65),3,0)</f>
        <v>3</v>
      </c>
      <c r="F38" s="79">
        <v>0</v>
      </c>
      <c r="G38" s="80" t="s">
        <v>146</v>
      </c>
      <c r="H38" s="84">
        <f ca="1">IF(E38=" ","",IF(F38="",0,E38-F38))</f>
        <v>3</v>
      </c>
    </row>
    <row r="39" spans="1:8" outlineLevel="1" x14ac:dyDescent="0.35">
      <c r="A39" s="163" t="str">
        <f ca="1">VLOOKUP(2,INDIRECT($C$65),2,0)</f>
        <v>Handstand, 1/1 Drehung, Abrollen</v>
      </c>
      <c r="B39" s="164"/>
      <c r="C39" s="164"/>
      <c r="D39" s="164"/>
      <c r="E39" s="87">
        <f ca="1">VLOOKUP(2,INDIRECT($C$65),3,0)</f>
        <v>3</v>
      </c>
      <c r="F39" s="43">
        <v>0</v>
      </c>
      <c r="G39" s="81" t="s">
        <v>146</v>
      </c>
      <c r="H39" s="84">
        <f t="shared" ref="H39:H49" ca="1" si="1">IF(E39=" ","",IF(F39="",0,E39-F39))</f>
        <v>3</v>
      </c>
    </row>
    <row r="40" spans="1:8" outlineLevel="1" x14ac:dyDescent="0.35">
      <c r="A40" s="163" t="str">
        <f ca="1">VLOOKUP(3,INDIRECT($C$65),2,0)</f>
        <v>Strecksprung 1/2 Drehung</v>
      </c>
      <c r="B40" s="164"/>
      <c r="C40" s="164"/>
      <c r="D40" s="164"/>
      <c r="E40" s="87">
        <f ca="1">VLOOKUP(3,INDIRECT($C$65),3,0)</f>
        <v>1.5</v>
      </c>
      <c r="F40" s="43">
        <v>0</v>
      </c>
      <c r="G40" s="81" t="s">
        <v>146</v>
      </c>
      <c r="H40" s="84">
        <f t="shared" ca="1" si="1"/>
        <v>1.5</v>
      </c>
    </row>
    <row r="41" spans="1:8" outlineLevel="1" x14ac:dyDescent="0.35">
      <c r="A41" s="163" t="str">
        <f ca="1">VLOOKUP(4,INDIRECT($C$65),2,0)</f>
        <v>Vorspreizen, Handstandhüpfer, Abrollen Grätschsitz</v>
      </c>
      <c r="B41" s="164"/>
      <c r="C41" s="164"/>
      <c r="D41" s="164"/>
      <c r="E41" s="87">
        <f ca="1">VLOOKUP(4,INDIRECT($C$65),3,0)</f>
        <v>1.5</v>
      </c>
      <c r="F41" s="43">
        <v>0</v>
      </c>
      <c r="G41" s="81" t="s">
        <v>146</v>
      </c>
      <c r="H41" s="84">
        <f t="shared" ca="1" si="1"/>
        <v>1.5</v>
      </c>
    </row>
    <row r="42" spans="1:8" outlineLevel="1" x14ac:dyDescent="0.35">
      <c r="A42" s="163" t="str">
        <f ca="1">VLOOKUP(5,INDIRECT($C$65),2,0)</f>
        <v>Briefmarke, Rückgrätschen --&gt; Bauchlage</v>
      </c>
      <c r="B42" s="164"/>
      <c r="C42" s="164"/>
      <c r="D42" s="164"/>
      <c r="E42" s="87">
        <f ca="1">VLOOKUP(5,INDIRECT($C$65),3,0)</f>
        <v>3</v>
      </c>
      <c r="F42" s="43">
        <v>3</v>
      </c>
      <c r="G42" s="81" t="s">
        <v>146</v>
      </c>
      <c r="H42" s="84">
        <f t="shared" ca="1" si="1"/>
        <v>0</v>
      </c>
    </row>
    <row r="43" spans="1:8" outlineLevel="1" x14ac:dyDescent="0.35">
      <c r="A43" s="163" t="str">
        <f ca="1">VLOOKUP(6,INDIRECT($C$65),2,0)</f>
        <v>Kniestand, Abdrücken gebückt --&gt; Handstand, abrollen</v>
      </c>
      <c r="B43" s="164"/>
      <c r="C43" s="164"/>
      <c r="D43" s="164"/>
      <c r="E43" s="87">
        <f ca="1">VLOOKUP(6,INDIRECT($C$65),3,0)</f>
        <v>3</v>
      </c>
      <c r="F43" s="43">
        <v>3</v>
      </c>
      <c r="G43" s="81" t="s">
        <v>146</v>
      </c>
      <c r="H43" s="84">
        <f t="shared" ca="1" si="1"/>
        <v>0</v>
      </c>
    </row>
    <row r="44" spans="1:8" outlineLevel="1" x14ac:dyDescent="0.35">
      <c r="A44" s="163" t="str">
        <f ca="1">VLOOKUP(7,INDIRECT($C$65),2,0)</f>
        <v>Vorspreizen, Standwaage --&gt; abrollen, einbeinig rechts auf</v>
      </c>
      <c r="B44" s="164"/>
      <c r="C44" s="164"/>
      <c r="D44" s="164"/>
      <c r="E44" s="87">
        <f ca="1">VLOOKUP(7,INDIRECT($C$65),3,0)</f>
        <v>3.5</v>
      </c>
      <c r="F44" s="43">
        <v>1.5</v>
      </c>
      <c r="G44" s="81" t="s">
        <v>146</v>
      </c>
      <c r="H44" s="84">
        <f t="shared" ca="1" si="1"/>
        <v>2</v>
      </c>
    </row>
    <row r="45" spans="1:8" outlineLevel="1" x14ac:dyDescent="0.35">
      <c r="A45" s="163" t="str">
        <f ca="1">VLOOKUP(8,INDIRECT($C$65),2,0)</f>
        <v>Vorspreizen, Standwaage --&gt; abrollen, einbeinig links auf</v>
      </c>
      <c r="B45" s="164"/>
      <c r="C45" s="164"/>
      <c r="D45" s="164"/>
      <c r="E45" s="87">
        <f ca="1">VLOOKUP(8,INDIRECT($C$65),3,0)</f>
        <v>3.5</v>
      </c>
      <c r="F45" s="43">
        <v>3</v>
      </c>
      <c r="G45" s="81" t="s">
        <v>146</v>
      </c>
      <c r="H45" s="84">
        <f t="shared" ca="1" si="1"/>
        <v>0.5</v>
      </c>
    </row>
    <row r="46" spans="1:8" outlineLevel="1" x14ac:dyDescent="0.35">
      <c r="A46" s="163" t="str">
        <f ca="1">VLOOKUP(9,INDIRECT($C$65),2,0)</f>
        <v>Rolle rückwärts durch Handstand</v>
      </c>
      <c r="B46" s="164"/>
      <c r="C46" s="164"/>
      <c r="D46" s="164"/>
      <c r="E46" s="87">
        <f ca="1">VLOOKUP(9,INDIRECT($C$65),3,0)</f>
        <v>3</v>
      </c>
      <c r="F46" s="43">
        <v>1</v>
      </c>
      <c r="G46" s="81" t="str">
        <f>IF(H2&gt;16,"","Wert - Abzug")</f>
        <v>Wert - Abzug</v>
      </c>
      <c r="H46" s="84">
        <f t="shared" ca="1" si="1"/>
        <v>2</v>
      </c>
    </row>
    <row r="47" spans="1:8" outlineLevel="1" x14ac:dyDescent="0.35">
      <c r="A47" s="163" t="str">
        <f ca="1">VLOOKUP(10,INDIRECT($C$65),2,0)</f>
        <v>Strecksprung 1/2 Drehung</v>
      </c>
      <c r="B47" s="164"/>
      <c r="C47" s="164"/>
      <c r="D47" s="164"/>
      <c r="E47" s="87">
        <f ca="1">VLOOKUP(10,INDIRECT($C$65),3,0)</f>
        <v>1</v>
      </c>
      <c r="F47" s="43">
        <v>0</v>
      </c>
      <c r="G47" s="81" t="str">
        <f>IF(H2&gt;16,"","Wert - Abzug")</f>
        <v>Wert - Abzug</v>
      </c>
      <c r="H47" s="84">
        <f t="shared" ca="1" si="1"/>
        <v>1</v>
      </c>
    </row>
    <row r="48" spans="1:8" outlineLevel="1" x14ac:dyDescent="0.35">
      <c r="A48" s="163" t="str">
        <f ca="1">VLOOKUP(11,INDIRECT($C$65),2,0)</f>
        <v>Sprungrolle mit Anlauf</v>
      </c>
      <c r="B48" s="164"/>
      <c r="C48" s="164"/>
      <c r="D48" s="164"/>
      <c r="E48" s="87">
        <f ca="1">VLOOKUP(11,INDIRECT($C$65),3,0)</f>
        <v>2</v>
      </c>
      <c r="F48" s="43">
        <v>0</v>
      </c>
      <c r="G48" s="81" t="str">
        <f>IF(H2&gt;13,"","Wert - Abzug")</f>
        <v>Wert - Abzug</v>
      </c>
      <c r="H48" s="84">
        <f t="shared" ca="1" si="1"/>
        <v>2</v>
      </c>
    </row>
    <row r="49" spans="1:8" ht="15" outlineLevel="1" thickBot="1" x14ac:dyDescent="0.4">
      <c r="A49" s="184" t="str">
        <f ca="1">VLOOKUP(12,INDIRECT($C$65),2,0)</f>
        <v>Strecksprung 1/1 Drehung</v>
      </c>
      <c r="B49" s="185"/>
      <c r="C49" s="185"/>
      <c r="D49" s="185"/>
      <c r="E49" s="93">
        <f ca="1">VLOOKUP(12,INDIRECT($C$65),3,0)</f>
        <v>2</v>
      </c>
      <c r="F49" s="82">
        <v>0</v>
      </c>
      <c r="G49" s="83" t="str">
        <f>IF(OR(H2=9,H2=12,H2=13),"Wert - Abzug","")</f>
        <v>Wert - Abzug</v>
      </c>
      <c r="H49" s="84">
        <f t="shared" ca="1" si="1"/>
        <v>2</v>
      </c>
    </row>
    <row r="50" spans="1:8" ht="15" thickBot="1" x14ac:dyDescent="0.4">
      <c r="A50" s="176" t="s">
        <v>98</v>
      </c>
      <c r="B50" s="177"/>
      <c r="C50" s="177"/>
      <c r="D50" s="177"/>
      <c r="E50" s="177"/>
      <c r="F50" s="177"/>
      <c r="G50" s="178"/>
      <c r="H50" s="44">
        <f ca="1">SUM(H38:H49)</f>
        <v>18.5</v>
      </c>
    </row>
    <row r="51" spans="1:8" ht="16" thickBot="1" x14ac:dyDescent="0.4">
      <c r="A51" s="169" t="s">
        <v>42</v>
      </c>
      <c r="B51" s="170"/>
      <c r="C51" s="170"/>
      <c r="D51" s="170"/>
      <c r="E51" s="170"/>
      <c r="F51" s="170"/>
      <c r="G51" s="170"/>
      <c r="H51" s="94">
        <f ca="1">SUM(H9,H18,H36,H50)</f>
        <v>167.3</v>
      </c>
    </row>
    <row r="52" spans="1:8" s="23" customFormat="1" x14ac:dyDescent="0.35">
      <c r="D52" s="50"/>
      <c r="E52" s="50"/>
      <c r="F52" s="50"/>
      <c r="G52" s="50"/>
    </row>
    <row r="53" spans="1:8" s="23" customFormat="1" hidden="1" x14ac:dyDescent="0.35">
      <c r="C53" s="24"/>
      <c r="D53" s="50"/>
      <c r="E53" s="50"/>
      <c r="F53" s="50"/>
      <c r="G53" s="50"/>
    </row>
    <row r="54" spans="1:8" s="23" customFormat="1" hidden="1" x14ac:dyDescent="0.35">
      <c r="B54" s="23" t="s">
        <v>249</v>
      </c>
      <c r="C54" s="23" t="str">
        <f>IF(H2&lt;13,"beide",F1)</f>
        <v>weiblich</v>
      </c>
      <c r="D54" s="50"/>
      <c r="E54" s="50"/>
      <c r="F54" s="50"/>
      <c r="G54" s="50"/>
    </row>
    <row r="55" spans="1:8" s="23" customFormat="1" hidden="1" x14ac:dyDescent="0.35">
      <c r="B55" s="23" t="s">
        <v>3</v>
      </c>
      <c r="C55" s="23" t="str">
        <f>IF(OR(H2=8,H2=11),H2,IF(H2&lt;11,"9_10",IF(H2&lt;14,"12_13",IF(H2&lt;16,"14_15",IF(H2&lt;18,"16_17",18)))))</f>
        <v>12_13</v>
      </c>
      <c r="D55" s="50"/>
      <c r="E55" s="50"/>
      <c r="F55" s="50"/>
      <c r="G55" s="50"/>
    </row>
    <row r="56" spans="1:8" s="23" customFormat="1" hidden="1" x14ac:dyDescent="0.35">
      <c r="D56" s="50"/>
      <c r="E56" s="50"/>
      <c r="F56" s="50"/>
      <c r="G56" s="50"/>
    </row>
    <row r="57" spans="1:8" s="23" customFormat="1" hidden="1" x14ac:dyDescent="0.35">
      <c r="B57" s="23" t="s">
        <v>251</v>
      </c>
      <c r="C57" s="23" t="str">
        <f>"TBN_"&amp;C54&amp;"_"&amp;C55</f>
        <v>TBN_weiblich_12_13</v>
      </c>
      <c r="D57" s="50"/>
      <c r="E57" s="50"/>
      <c r="F57" s="50"/>
      <c r="G57" s="50"/>
    </row>
    <row r="58" spans="1:8" s="23" customFormat="1" hidden="1" x14ac:dyDescent="0.35">
      <c r="C58" s="23" t="str">
        <f>C57&amp;"[Beschreibung]"</f>
        <v>TBN_weiblich_12_13[Beschreibung]</v>
      </c>
      <c r="D58" s="50"/>
      <c r="E58" s="50"/>
      <c r="F58" s="50"/>
      <c r="G58" s="50"/>
    </row>
    <row r="59" spans="1:8" s="23" customFormat="1" hidden="1" x14ac:dyDescent="0.35">
      <c r="D59" s="50"/>
      <c r="E59" s="50"/>
      <c r="F59" s="50"/>
      <c r="G59" s="50"/>
    </row>
    <row r="60" spans="1:8" s="23" customFormat="1" hidden="1" x14ac:dyDescent="0.35">
      <c r="B60" s="23" t="s">
        <v>147</v>
      </c>
      <c r="C60" s="23" t="str">
        <f>"TN_"&amp;C54&amp;"_"&amp;C55</f>
        <v>TN_weiblich_12_13</v>
      </c>
      <c r="D60" s="50"/>
      <c r="E60" s="50"/>
      <c r="F60" s="50"/>
      <c r="G60" s="50"/>
    </row>
    <row r="61" spans="1:8" s="23" customFormat="1" hidden="1" x14ac:dyDescent="0.35">
      <c r="C61" s="23" t="str">
        <f>C60&amp;"[Beschreibung]"</f>
        <v>TN_weiblich_12_13[Beschreibung]</v>
      </c>
      <c r="D61" s="50"/>
      <c r="E61" s="50"/>
      <c r="F61" s="50"/>
      <c r="G61" s="50"/>
    </row>
    <row r="62" spans="1:8" s="23" customFormat="1" hidden="1" x14ac:dyDescent="0.35">
      <c r="D62" s="50"/>
      <c r="E62" s="50"/>
      <c r="F62" s="50"/>
      <c r="G62" s="50"/>
    </row>
    <row r="63" spans="1:8" s="23" customFormat="1" hidden="1" x14ac:dyDescent="0.35">
      <c r="B63" s="23" t="s">
        <v>17</v>
      </c>
      <c r="C63" s="23" t="str">
        <f>"TV_"&amp;F1&amp;"_"&amp;C55</f>
        <v>TV_weiblich_12_13</v>
      </c>
      <c r="D63" s="50"/>
      <c r="E63" s="50"/>
      <c r="F63" s="50"/>
      <c r="G63" s="50"/>
    </row>
    <row r="64" spans="1:8" s="23" customFormat="1" hidden="1" x14ac:dyDescent="0.35">
      <c r="D64" s="50"/>
      <c r="E64" s="50"/>
      <c r="F64" s="50"/>
      <c r="G64" s="50"/>
    </row>
    <row r="65" spans="2:7" s="23" customFormat="1" hidden="1" x14ac:dyDescent="0.35">
      <c r="B65" s="23" t="s">
        <v>252</v>
      </c>
      <c r="C65" s="23" t="str">
        <f>"BKÜ"&amp;IF(H2=9,"_9",IF(H2&lt;12,"_10_11",IF(H2&lt;14,"_12_13",IF(H2&lt;17,"_14_16","_17"))))</f>
        <v>BKÜ_12_13</v>
      </c>
      <c r="D65" s="50"/>
      <c r="E65" s="50"/>
      <c r="F65" s="50"/>
      <c r="G65" s="50"/>
    </row>
    <row r="66" spans="2:7" s="23" customFormat="1" hidden="1" x14ac:dyDescent="0.35">
      <c r="D66" s="50"/>
      <c r="E66" s="50"/>
      <c r="F66" s="50"/>
      <c r="G66" s="50"/>
    </row>
    <row r="67" spans="2:7" s="23" customFormat="1" hidden="1" x14ac:dyDescent="0.35">
      <c r="B67" s="23" t="s">
        <v>250</v>
      </c>
      <c r="C67" s="23" t="str">
        <f>IF(H2&lt;17,"beide",F1)</f>
        <v>beide</v>
      </c>
      <c r="D67" s="50"/>
      <c r="E67" s="50"/>
      <c r="F67" s="50"/>
      <c r="G67" s="50"/>
    </row>
    <row r="68" spans="2:7" s="23" customFormat="1" hidden="1" x14ac:dyDescent="0.35">
      <c r="B68" s="23" t="s">
        <v>17</v>
      </c>
      <c r="C68" s="23" t="str">
        <f>"TV_"&amp;C67&amp;"_"&amp;C55</f>
        <v>TV_beide_12_13</v>
      </c>
      <c r="D68" s="50"/>
      <c r="E68" s="50"/>
      <c r="F68" s="50"/>
      <c r="G68" s="50"/>
    </row>
    <row r="69" spans="2:7" x14ac:dyDescent="0.35"/>
    <row r="70" spans="2:7" x14ac:dyDescent="0.35"/>
  </sheetData>
  <sheetProtection algorithmName="SHA-512" hashValue="4tyJ/lZZYwZjD/FwQwGENJNMYSHumK2QL78UUBm+n1yhj1BQfN3wEUas1jhxYwE/ksMO6MX73P2TIEBQWrPZmg==" saltValue="9W0B/gbFCeuW7pCqH3mPrw==" spinCount="100000" sheet="1" objects="1" scenarios="1" selectLockedCells="1"/>
  <protectedRanges>
    <protectedRange sqref="H1:H2 F1:F2 B1:B2" name="Athletendaten"/>
    <protectedRange sqref="F38:F49 C20:F35 D69:E440 C69:C441 F4:F8 C38:E68 C11:E16 F11:F17" name="Werte und Varianten"/>
    <protectedRange algorithmName="SHA-512" hashValue="EtPG7jm6pk6JVG08ToKZL4Sto4PS6TOUsygvFmj6DTfcGnX6DwKdfjTEg/2X1Hwnu/CwfNhBUSnXKs/oLqcupQ==" saltValue="sPse4fdTsI5OFESYvRIl8Q==" spinCount="100000" sqref="H4:H8 H38:H49 H20:H35 H11:H17" name="Punktzahlen"/>
  </protectedRanges>
  <mergeCells count="44">
    <mergeCell ref="A50:G50"/>
    <mergeCell ref="A51:G51"/>
    <mergeCell ref="A44:D44"/>
    <mergeCell ref="A45:D45"/>
    <mergeCell ref="A46:D46"/>
    <mergeCell ref="A47:D47"/>
    <mergeCell ref="A48:D48"/>
    <mergeCell ref="A49:D49"/>
    <mergeCell ref="A43:D43"/>
    <mergeCell ref="A32:B32"/>
    <mergeCell ref="A33:B33"/>
    <mergeCell ref="A34:B34"/>
    <mergeCell ref="A35:B35"/>
    <mergeCell ref="A36:G36"/>
    <mergeCell ref="A37:D37"/>
    <mergeCell ref="A38:D38"/>
    <mergeCell ref="A39:D39"/>
    <mergeCell ref="A40:D40"/>
    <mergeCell ref="A41:D41"/>
    <mergeCell ref="A42:D42"/>
    <mergeCell ref="A31:B31"/>
    <mergeCell ref="A13:E13"/>
    <mergeCell ref="A14:E14"/>
    <mergeCell ref="A15:E15"/>
    <mergeCell ref="A16:E16"/>
    <mergeCell ref="A18:G18"/>
    <mergeCell ref="A19:C19"/>
    <mergeCell ref="A20:B20"/>
    <mergeCell ref="A21:B21"/>
    <mergeCell ref="A22:B22"/>
    <mergeCell ref="A23:B23"/>
    <mergeCell ref="A30:B30"/>
    <mergeCell ref="A12:E12"/>
    <mergeCell ref="B1:E1"/>
    <mergeCell ref="B2:F2"/>
    <mergeCell ref="A3:E3"/>
    <mergeCell ref="A4:E4"/>
    <mergeCell ref="A5:E5"/>
    <mergeCell ref="A6:E6"/>
    <mergeCell ref="A7:E7"/>
    <mergeCell ref="A8:E8"/>
    <mergeCell ref="A9:G9"/>
    <mergeCell ref="A10:E10"/>
    <mergeCell ref="A11:E11"/>
  </mergeCells>
  <conditionalFormatting sqref="F46:F49">
    <cfRule type="expression" dxfId="199" priority="3">
      <formula>$A46=" "</formula>
    </cfRule>
  </conditionalFormatting>
  <conditionalFormatting sqref="B24:B29 C21:E29">
    <cfRule type="expression" dxfId="198" priority="2">
      <formula>$A21="entfällt"</formula>
    </cfRule>
    <cfRule type="expression" dxfId="197" priority="4">
      <formula>$H$2&gt;14</formula>
    </cfRule>
  </conditionalFormatting>
  <conditionalFormatting sqref="B24:B29">
    <cfRule type="expression" dxfId="196" priority="1">
      <formula>AND($A24="TN",$C24&lt;&gt;"")</formula>
    </cfRule>
  </conditionalFormatting>
  <dataValidations count="19">
    <dataValidation type="decimal" errorStyle="warning" allowBlank="1" showInputMessage="1" showErrorMessage="1" error="Eingegebener Abzug überschreitet maximal zulässigen Abzug, Wert bitte überprüfen!" sqref="F21:F35" xr:uid="{ADEB8C70-8496-4EFF-ACB7-DBF5BB7B0301}">
      <formula1>0</formula1>
      <formula2>$E21</formula2>
    </dataValidation>
    <dataValidation type="list" allowBlank="1" showInputMessage="1" showErrorMessage="1" sqref="C20" xr:uid="{E2F91B90-420E-41E8-8571-080DE1BC1C39}">
      <formula1>"Lichtschranke,Druckmessplatte"</formula1>
    </dataValidation>
    <dataValidation type="whole" allowBlank="1" showInputMessage="1" showErrorMessage="1" errorTitle="Falsche Eingabe" error="Bitte Wert prüfen" sqref="D17" xr:uid="{AA5CCEF1-58A8-4084-BC80-E8D70BC43F0C}">
      <formula1>1</formula1>
      <formula2>13</formula2>
    </dataValidation>
    <dataValidation type="list" allowBlank="1" showInputMessage="1" sqref="C24:C29" xr:uid="{B90540A9-01DA-465B-AC93-D5272D8A02F1}">
      <formula1>INDIRECT($C$61)</formula1>
    </dataValidation>
    <dataValidation type="list" allowBlank="1" showInputMessage="1" sqref="C21:C23" xr:uid="{3F060021-2F93-4139-97BD-F2E63A9A2470}">
      <formula1>INDIRECT($C$58)</formula1>
    </dataValidation>
    <dataValidation allowBlank="1" showInputMessage="1" showErrorMessage="1" prompt="Anzahl der Wiederholungen" sqref="F11" xr:uid="{079157A3-541F-42C5-B346-C4BDB37F6191}"/>
    <dataValidation type="whole" allowBlank="1" showInputMessage="1" showErrorMessage="1" prompt="Abstand von der Oberkante des Turnhockers zur schlechtesten Fingerspitze in cm" sqref="F6" xr:uid="{9B80473D-EDE8-4531-A28E-FDF3AC57D1A9}">
      <formula1>-50</formula1>
      <formula2>50</formula2>
    </dataValidation>
    <dataValidation type="list" allowBlank="1" showInputMessage="1" showErrorMessage="1" prompt="Punktzahl nach Vergleich mit Bild" sqref="F5" xr:uid="{96BE81FC-741D-45D8-9AAC-715425DC4E15}">
      <formula1>"0,2,6,10"</formula1>
    </dataValidation>
    <dataValidation type="whole" allowBlank="1" showErrorMessage="1" errorTitle="Falsche Eingabe" error="Bitte Wert prüfen" prompt="Höchste erreichte Stufe" sqref="F17" xr:uid="{B16ADB4B-F2B2-4739-9B5E-9A452D9F4DA6}">
      <formula1>1</formula1>
      <formula2>11</formula2>
    </dataValidation>
    <dataValidation allowBlank="1" sqref="D20:E20" xr:uid="{A1262B6B-722D-412B-BA34-457CEBF81897}"/>
    <dataValidation type="decimal" errorStyle="warning" allowBlank="1" showInputMessage="1" showErrorMessage="1" error="Abzug höher als Wert des Elements, bitte überprüfen!" prompt="Abzug" sqref="F38:F49" xr:uid="{39BFA6C1-0101-4952-8B3C-1ABEF1772901}">
      <formula1>0</formula1>
      <formula2>$E38</formula2>
    </dataValidation>
    <dataValidation type="whole" allowBlank="1" showInputMessage="1" showErrorMessage="1" prompt="AKs 9 - 13: Übersprungene Kästchen_x000a__x000a_AKs 14 - 21: Anzahl Saltos" sqref="F15" xr:uid="{1C695AE6-6C12-4E66-B1D4-0E328D4619B0}">
      <formula1>0</formula1>
      <formula2>50</formula2>
    </dataValidation>
    <dataValidation type="list" allowBlank="1" showInputMessage="1" showErrorMessage="1" sqref="F1" xr:uid="{471BCA7A-91CF-4800-9E78-75E94EAFF979}">
      <formula1>"männlich,weiblich"</formula1>
    </dataValidation>
    <dataValidation type="whole" allowBlank="1" showInputMessage="1" showErrorMessage="1" sqref="H4:H8" xr:uid="{9BCE60FA-76F3-47E3-93F7-A91657E73F19}">
      <formula1>0</formula1>
      <formula2>10</formula2>
    </dataValidation>
    <dataValidation type="whole" allowBlank="1" showInputMessage="1" showErrorMessage="1" prompt="Haltezeit in Sekunden" sqref="F13" xr:uid="{B506C777-3A4E-4B47-941E-FD0566CEEF2A}">
      <formula1>0</formula1>
      <formula2>200</formula2>
    </dataValidation>
    <dataValidation type="whole" allowBlank="1" showInputMessage="1" showErrorMessage="1" prompt="Haltezeit in Sekunden" sqref="F16" xr:uid="{6FC6767A-3295-43B1-901F-AB4056326794}">
      <formula1>0</formula1>
      <formula2>100</formula2>
    </dataValidation>
    <dataValidation type="whole" allowBlank="1" showInputMessage="1" showErrorMessage="1" prompt="Anzahl der Wiederholungen" sqref="F14 F12" xr:uid="{82C3B193-6179-4D55-A5F1-830C1A60B0D5}">
      <formula1>0</formula1>
      <formula2>50</formula2>
    </dataValidation>
    <dataValidation type="list" operator="equal" allowBlank="1" showInputMessage="1" showErrorMessage="1" prompt="Punktzahl nach Vergleich mit Bild" sqref="F4" xr:uid="{8F4C1BE4-4B4B-421F-BFB8-1DB8C03A08A4}">
      <formula1>"0,2,6,10"</formula1>
    </dataValidation>
    <dataValidation type="decimal" errorStyle="warning" showDropDown="1" showErrorMessage="1" error="Wert unrealistisch hoch, bitte Eingabe überprüfen" promptTitle="Vorsicht" sqref="F20" xr:uid="{C82ABC7E-03E3-429D-A2C9-B969CF29787C}">
      <formula1>0</formula1>
      <formula2>30</formula2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Bitte Werte aus Dropdown auswählen" prompt="Abstand vom Boden laut Schablone" xr:uid="{BB574EA6-0FC5-419D-8FC9-E081CD27F603}">
          <x14:formula1>
            <xm:f>Punktetabellen!$A$3:$A$6</xm:f>
          </x14:formula1>
          <xm:sqref>F7:F8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2D7D0-403F-4DE2-ACE2-EC5EDEB1B37A}">
  <sheetPr codeName="Tabelle12">
    <tabColor indexed="47"/>
    <pageSetUpPr fitToPage="1"/>
  </sheetPr>
  <dimension ref="A1:J70"/>
  <sheetViews>
    <sheetView zoomScale="85" zoomScaleNormal="85" workbookViewId="0">
      <pane ySplit="2" topLeftCell="A3" activePane="bottomLeft" state="frozen"/>
      <selection sqref="A1:H1"/>
      <selection pane="bottomLeft" activeCell="E22" sqref="E22"/>
    </sheetView>
  </sheetViews>
  <sheetFormatPr baseColWidth="10" defaultColWidth="0" defaultRowHeight="14.5" zeroHeight="1" outlineLevelRow="1" x14ac:dyDescent="0.35"/>
  <cols>
    <col min="1" max="1" width="11.453125" customWidth="1"/>
    <col min="2" max="2" width="12.1796875" customWidth="1"/>
    <col min="3" max="3" width="44.81640625" bestFit="1" customWidth="1"/>
    <col min="4" max="5" width="11.453125" style="148" customWidth="1"/>
    <col min="6" max="6" width="16.1796875" style="148" bestFit="1" customWidth="1"/>
    <col min="7" max="7" width="13.81640625" style="148" customWidth="1"/>
    <col min="8" max="8" width="11.453125" customWidth="1"/>
    <col min="9" max="9" width="6.1796875" style="23" hidden="1" customWidth="1"/>
    <col min="10" max="10" width="0" hidden="1" customWidth="1"/>
    <col min="11" max="16384" width="11.453125" hidden="1"/>
  </cols>
  <sheetData>
    <row r="1" spans="1:8" ht="15.5" x14ac:dyDescent="0.35">
      <c r="A1" s="16" t="s">
        <v>1</v>
      </c>
      <c r="B1" s="186" t="s">
        <v>357</v>
      </c>
      <c r="C1" s="187"/>
      <c r="D1" s="187"/>
      <c r="E1" s="188"/>
      <c r="F1" s="51" t="s">
        <v>97</v>
      </c>
      <c r="G1" s="61" t="s">
        <v>24</v>
      </c>
      <c r="H1" s="63">
        <v>2009</v>
      </c>
    </row>
    <row r="2" spans="1:8" ht="16" thickBot="1" x14ac:dyDescent="0.4">
      <c r="A2" s="17" t="s">
        <v>4</v>
      </c>
      <c r="B2" s="198" t="s">
        <v>358</v>
      </c>
      <c r="C2" s="199"/>
      <c r="D2" s="199"/>
      <c r="E2" s="199"/>
      <c r="F2" s="200"/>
      <c r="G2" s="62" t="s">
        <v>3</v>
      </c>
      <c r="H2" s="64">
        <f>2022-H1</f>
        <v>13</v>
      </c>
    </row>
    <row r="3" spans="1:8" ht="15" outlineLevel="1" thickBot="1" x14ac:dyDescent="0.4">
      <c r="A3" s="189" t="s">
        <v>26</v>
      </c>
      <c r="B3" s="190"/>
      <c r="C3" s="190"/>
      <c r="D3" s="190"/>
      <c r="E3" s="191"/>
      <c r="F3" s="46" t="s">
        <v>27</v>
      </c>
      <c r="G3" s="47" t="s">
        <v>28</v>
      </c>
      <c r="H3" s="22" t="s">
        <v>234</v>
      </c>
    </row>
    <row r="4" spans="1:8" outlineLevel="1" x14ac:dyDescent="0.35">
      <c r="A4" s="192" t="s">
        <v>30</v>
      </c>
      <c r="B4" s="193"/>
      <c r="C4" s="193"/>
      <c r="D4" s="193"/>
      <c r="E4" s="194"/>
      <c r="F4" s="25">
        <v>10</v>
      </c>
      <c r="G4" s="55" t="s">
        <v>32</v>
      </c>
      <c r="H4" s="34">
        <f>F4</f>
        <v>10</v>
      </c>
    </row>
    <row r="5" spans="1:8" outlineLevel="1" x14ac:dyDescent="0.35">
      <c r="A5" s="195" t="s">
        <v>85</v>
      </c>
      <c r="B5" s="196"/>
      <c r="C5" s="196"/>
      <c r="D5" s="196"/>
      <c r="E5" s="197"/>
      <c r="F5" s="14">
        <v>10</v>
      </c>
      <c r="G5" s="56" t="s">
        <v>32</v>
      </c>
      <c r="H5" s="35">
        <f>F5</f>
        <v>10</v>
      </c>
    </row>
    <row r="6" spans="1:8" outlineLevel="1" x14ac:dyDescent="0.35">
      <c r="A6" s="195" t="s">
        <v>33</v>
      </c>
      <c r="B6" s="196"/>
      <c r="C6" s="196"/>
      <c r="D6" s="196"/>
      <c r="E6" s="197"/>
      <c r="F6" s="14">
        <v>20</v>
      </c>
      <c r="G6" s="56" t="s">
        <v>31</v>
      </c>
      <c r="H6" s="35">
        <f>IF(F6="",0,VLOOKUP(F6,Punktetabellen!A10:B15,2,1))</f>
        <v>10</v>
      </c>
    </row>
    <row r="7" spans="1:8" outlineLevel="1" x14ac:dyDescent="0.35">
      <c r="A7" s="195" t="s">
        <v>34</v>
      </c>
      <c r="B7" s="196"/>
      <c r="C7" s="196"/>
      <c r="D7" s="196"/>
      <c r="E7" s="197"/>
      <c r="F7" s="14">
        <v>0</v>
      </c>
      <c r="G7" s="56" t="s">
        <v>31</v>
      </c>
      <c r="H7" s="35">
        <f>IF(F7="",0,VLOOKUP(F7,Punktetabellen!A3:B6,2,0))</f>
        <v>5</v>
      </c>
    </row>
    <row r="8" spans="1:8" ht="15" outlineLevel="1" thickBot="1" x14ac:dyDescent="0.4">
      <c r="A8" s="204" t="s">
        <v>35</v>
      </c>
      <c r="B8" s="205"/>
      <c r="C8" s="205"/>
      <c r="D8" s="205"/>
      <c r="E8" s="206"/>
      <c r="F8" s="41">
        <v>0</v>
      </c>
      <c r="G8" s="57" t="s">
        <v>31</v>
      </c>
      <c r="H8" s="36">
        <f>IF(F8="",0,VLOOKUP(F8,Punktetabellen!A3:B6,2,0))</f>
        <v>5</v>
      </c>
    </row>
    <row r="9" spans="1:8" ht="15" thickBot="1" x14ac:dyDescent="0.4">
      <c r="A9" s="210" t="s">
        <v>36</v>
      </c>
      <c r="B9" s="211"/>
      <c r="C9" s="211"/>
      <c r="D9" s="211"/>
      <c r="E9" s="211"/>
      <c r="F9" s="211"/>
      <c r="G9" s="211"/>
      <c r="H9" s="48">
        <f>SUM(H4:H8)</f>
        <v>40</v>
      </c>
    </row>
    <row r="10" spans="1:8" ht="15" outlineLevel="1" thickBot="1" x14ac:dyDescent="0.4">
      <c r="A10" s="189" t="s">
        <v>26</v>
      </c>
      <c r="B10" s="190"/>
      <c r="C10" s="190"/>
      <c r="D10" s="190"/>
      <c r="E10" s="191"/>
      <c r="F10" s="46" t="s">
        <v>27</v>
      </c>
      <c r="G10" s="47" t="s">
        <v>28</v>
      </c>
      <c r="H10" s="22" t="s">
        <v>234</v>
      </c>
    </row>
    <row r="11" spans="1:8" outlineLevel="1" x14ac:dyDescent="0.35">
      <c r="A11" s="207" t="s">
        <v>37</v>
      </c>
      <c r="B11" s="208"/>
      <c r="C11" s="208"/>
      <c r="D11" s="208"/>
      <c r="E11" s="209"/>
      <c r="F11" s="26">
        <v>7</v>
      </c>
      <c r="G11" s="58" t="s">
        <v>31</v>
      </c>
      <c r="H11" s="37">
        <f>IF($F11="",0,VLOOKUP($F11,Pkte_Klimmzug[],$H$2,1))</f>
        <v>6</v>
      </c>
    </row>
    <row r="12" spans="1:8" outlineLevel="1" x14ac:dyDescent="0.35">
      <c r="A12" s="201" t="s">
        <v>38</v>
      </c>
      <c r="B12" s="202"/>
      <c r="C12" s="202"/>
      <c r="D12" s="202"/>
      <c r="E12" s="203"/>
      <c r="F12" s="27">
        <v>10</v>
      </c>
      <c r="G12" s="59" t="s">
        <v>31</v>
      </c>
      <c r="H12" s="38">
        <f>IF($F12="",0,VLOOKUP($F12,Pkte_Beinheben[],$H$2,1))</f>
        <v>10</v>
      </c>
    </row>
    <row r="13" spans="1:8" outlineLevel="1" x14ac:dyDescent="0.35">
      <c r="A13" s="201" t="s">
        <v>88</v>
      </c>
      <c r="B13" s="202"/>
      <c r="C13" s="202"/>
      <c r="D13" s="202"/>
      <c r="E13" s="203"/>
      <c r="F13" s="27">
        <v>100</v>
      </c>
      <c r="G13" s="59" t="s">
        <v>31</v>
      </c>
      <c r="H13" s="38">
        <f>IF($F13="",0,VLOOKUP($F13,Pkte_Flieger[],$H$2,1))</f>
        <v>10</v>
      </c>
    </row>
    <row r="14" spans="1:8" outlineLevel="1" x14ac:dyDescent="0.35">
      <c r="A14" s="201" t="s">
        <v>39</v>
      </c>
      <c r="B14" s="202"/>
      <c r="C14" s="202"/>
      <c r="D14" s="202"/>
      <c r="E14" s="203"/>
      <c r="F14" s="27">
        <v>25</v>
      </c>
      <c r="G14" s="59" t="s">
        <v>31</v>
      </c>
      <c r="H14" s="38">
        <f>IF($F14="",0,VLOOKUP($F14,Pkte_Rollenverbindung[],$H$2,1))</f>
        <v>10</v>
      </c>
    </row>
    <row r="15" spans="1:8" outlineLevel="1" x14ac:dyDescent="0.35">
      <c r="A15" s="201" t="s">
        <v>89</v>
      </c>
      <c r="B15" s="202"/>
      <c r="C15" s="202"/>
      <c r="D15" s="202"/>
      <c r="E15" s="203"/>
      <c r="F15" s="27">
        <v>36</v>
      </c>
      <c r="G15" s="59" t="s">
        <v>31</v>
      </c>
      <c r="H15" s="38">
        <f>IF($F15="",0,VLOOKUP($F15,Pkte_Prellsprung[],$H$2,1))</f>
        <v>8</v>
      </c>
    </row>
    <row r="16" spans="1:8" outlineLevel="1" x14ac:dyDescent="0.35">
      <c r="A16" s="201" t="s">
        <v>90</v>
      </c>
      <c r="B16" s="202"/>
      <c r="C16" s="202"/>
      <c r="D16" s="202"/>
      <c r="E16" s="203"/>
      <c r="F16" s="28">
        <v>30</v>
      </c>
      <c r="G16" s="59" t="s">
        <v>31</v>
      </c>
      <c r="H16" s="38">
        <f>IF($F16="",0,VLOOKUP($F16,Pkte_Handstand[],$H$2,1))</f>
        <v>10</v>
      </c>
    </row>
    <row r="17" spans="1:8" ht="15" outlineLevel="1" thickBot="1" x14ac:dyDescent="0.4">
      <c r="A17" s="112" t="s">
        <v>93</v>
      </c>
      <c r="B17" s="113"/>
      <c r="C17" s="114" t="s">
        <v>269</v>
      </c>
      <c r="D17" s="29">
        <v>8</v>
      </c>
      <c r="E17" s="115" t="s">
        <v>270</v>
      </c>
      <c r="F17" s="29">
        <v>11</v>
      </c>
      <c r="G17" s="60" t="s">
        <v>31</v>
      </c>
      <c r="H17" s="39">
        <f>IF($F17="",0,IF($F$1="weiblich",VLOOKUP((100*$D17+$F17),Pkte_Shuttle_W[],$H$2,1),VLOOKUP((100*$D17+$F17),Pkte_Shuttle_M[],$H$2,1)))</f>
        <v>9</v>
      </c>
    </row>
    <row r="18" spans="1:8" ht="15" thickBot="1" x14ac:dyDescent="0.4">
      <c r="A18" s="161" t="s">
        <v>40</v>
      </c>
      <c r="B18" s="162"/>
      <c r="C18" s="162"/>
      <c r="D18" s="162"/>
      <c r="E18" s="162"/>
      <c r="F18" s="162"/>
      <c r="G18" s="162"/>
      <c r="H18" s="48">
        <f>SUM(H11:H17)</f>
        <v>63</v>
      </c>
    </row>
    <row r="19" spans="1:8" ht="15" outlineLevel="1" thickBot="1" x14ac:dyDescent="0.4">
      <c r="A19" s="159" t="s">
        <v>26</v>
      </c>
      <c r="B19" s="160"/>
      <c r="C19" s="160"/>
      <c r="D19" s="85" t="s">
        <v>235</v>
      </c>
      <c r="E19" s="85" t="s">
        <v>238</v>
      </c>
      <c r="F19" s="85" t="s">
        <v>236</v>
      </c>
      <c r="G19" s="86" t="s">
        <v>28</v>
      </c>
      <c r="H19" s="49" t="s">
        <v>234</v>
      </c>
    </row>
    <row r="20" spans="1:8" outlineLevel="1" x14ac:dyDescent="0.35">
      <c r="A20" s="167" t="s">
        <v>148</v>
      </c>
      <c r="B20" s="168"/>
      <c r="C20" s="116" t="str">
        <f>Infos!A10</f>
        <v>Druckmessplatte</v>
      </c>
      <c r="D20" s="90">
        <f>IF(F1="männlich",VLOOKUP(H2,Standsprünge!A3:C15,3,0),VLOOKUP(H2,Standsprünge!A3:B15,2,0))+IF(C20="Druckmessplatte",0)</f>
        <v>15.1</v>
      </c>
      <c r="E20" s="90"/>
      <c r="F20" s="67">
        <v>16.899999999999999</v>
      </c>
      <c r="G20" s="91" t="s">
        <v>149</v>
      </c>
      <c r="H20" s="88">
        <f>IF(F20="",0,(F20-D20)*10)</f>
        <v>17.999999999999989</v>
      </c>
    </row>
    <row r="21" spans="1:8" outlineLevel="1" x14ac:dyDescent="0.35">
      <c r="A21" s="165" t="str">
        <f>IF(H2&gt;15,"entfällt","TBN")</f>
        <v>TBN</v>
      </c>
      <c r="B21" s="166"/>
      <c r="C21" s="77" t="s">
        <v>348</v>
      </c>
      <c r="D21" s="78">
        <v>10</v>
      </c>
      <c r="E21" s="78">
        <v>6</v>
      </c>
      <c r="F21" s="42">
        <v>4</v>
      </c>
      <c r="G21" s="71" t="str">
        <f>IF(H2&gt;16,"entfällt","Wert - Abzug")</f>
        <v>Wert - Abzug</v>
      </c>
      <c r="H21" s="66">
        <f>IF(A21="entfällt",0,IF(F21="",0,D21-F21))</f>
        <v>6</v>
      </c>
    </row>
    <row r="22" spans="1:8" outlineLevel="1" x14ac:dyDescent="0.35">
      <c r="A22" s="165" t="str">
        <f>IF(H2&gt;15,"entfällt","TBN")</f>
        <v>TBN</v>
      </c>
      <c r="B22" s="166"/>
      <c r="C22" s="77" t="s">
        <v>196</v>
      </c>
      <c r="D22" s="78">
        <v>10</v>
      </c>
      <c r="E22" s="78">
        <v>6</v>
      </c>
      <c r="F22" s="42">
        <v>2</v>
      </c>
      <c r="G22" s="71" t="str">
        <f>IF(H2&gt;16,"entfällt","Wert - Abzug")</f>
        <v>Wert - Abzug</v>
      </c>
      <c r="H22" s="66">
        <f t="shared" ref="H22:H28" si="0">IF(A22="entfällt",0,IF(F22="",0,D22-F22))</f>
        <v>8</v>
      </c>
    </row>
    <row r="23" spans="1:8" outlineLevel="1" x14ac:dyDescent="0.35">
      <c r="A23" s="165" t="str">
        <f>IF(H2&gt;11,"entfällt","TBN")</f>
        <v>entfällt</v>
      </c>
      <c r="B23" s="166"/>
      <c r="C23" s="77"/>
      <c r="D23" s="78" t="str">
        <f ca="1">IF(C23="","",VLOOKUP(C23,INDIRECT($C$57),2,0))</f>
        <v/>
      </c>
      <c r="E23" s="78" t="str">
        <f ca="1">IF(C23="","",VLOOKUP(C23,INDIRECT($C$57),3,0))</f>
        <v/>
      </c>
      <c r="F23" s="42"/>
      <c r="G23" s="71" t="str">
        <f>IF(H2&gt;16,"entfällt","Wert - Abzug")</f>
        <v>Wert - Abzug</v>
      </c>
      <c r="H23" s="66">
        <f t="shared" si="0"/>
        <v>0</v>
      </c>
    </row>
    <row r="24" spans="1:8" outlineLevel="1" x14ac:dyDescent="0.35">
      <c r="A24" s="110" t="s">
        <v>147</v>
      </c>
      <c r="B24" s="111"/>
      <c r="C24" s="77" t="s">
        <v>179</v>
      </c>
      <c r="D24" s="78">
        <v>11</v>
      </c>
      <c r="E24" s="78">
        <v>6</v>
      </c>
      <c r="F24" s="42">
        <v>2</v>
      </c>
      <c r="G24" s="71" t="s">
        <v>146</v>
      </c>
      <c r="H24" s="66">
        <f t="shared" si="0"/>
        <v>9</v>
      </c>
    </row>
    <row r="25" spans="1:8" outlineLevel="1" x14ac:dyDescent="0.35">
      <c r="A25" s="110" t="s">
        <v>147</v>
      </c>
      <c r="B25" s="111"/>
      <c r="C25" s="77" t="s">
        <v>180</v>
      </c>
      <c r="D25" s="78">
        <v>13</v>
      </c>
      <c r="E25" s="78">
        <v>6</v>
      </c>
      <c r="F25" s="42">
        <v>2</v>
      </c>
      <c r="G25" s="71" t="s">
        <v>146</v>
      </c>
      <c r="H25" s="66">
        <f t="shared" si="0"/>
        <v>11</v>
      </c>
    </row>
    <row r="26" spans="1:8" outlineLevel="1" x14ac:dyDescent="0.35">
      <c r="A26" s="110" t="s">
        <v>147</v>
      </c>
      <c r="B26" s="111"/>
      <c r="C26" s="77" t="s">
        <v>181</v>
      </c>
      <c r="D26" s="78">
        <v>12</v>
      </c>
      <c r="E26" s="78">
        <v>6</v>
      </c>
      <c r="F26" s="42">
        <v>4</v>
      </c>
      <c r="G26" s="71" t="s">
        <v>146</v>
      </c>
      <c r="H26" s="66">
        <f t="shared" si="0"/>
        <v>8</v>
      </c>
    </row>
    <row r="27" spans="1:8" outlineLevel="1" x14ac:dyDescent="0.35">
      <c r="A27" s="110" t="str">
        <f>IF(H2&gt;11,"TN","entfällt")</f>
        <v>TN</v>
      </c>
      <c r="B27" s="111"/>
      <c r="C27" s="77" t="s">
        <v>62</v>
      </c>
      <c r="D27" s="78">
        <v>15</v>
      </c>
      <c r="E27" s="78">
        <v>6</v>
      </c>
      <c r="F27" s="42">
        <v>4</v>
      </c>
      <c r="G27" s="71" t="str">
        <f>IF(H2&gt;12,"Wert - Abzug","entfällt")</f>
        <v>Wert - Abzug</v>
      </c>
      <c r="H27" s="66">
        <f t="shared" si="0"/>
        <v>11</v>
      </c>
    </row>
    <row r="28" spans="1:8" outlineLevel="1" x14ac:dyDescent="0.35">
      <c r="A28" s="110" t="str">
        <f>IF(H2&gt;15,"TN","entfällt")</f>
        <v>entfällt</v>
      </c>
      <c r="B28" s="111"/>
      <c r="C28" s="77"/>
      <c r="D28" s="78"/>
      <c r="E28" s="78"/>
      <c r="F28" s="42"/>
      <c r="G28" s="71" t="str">
        <f>IF(H2&gt;16,"Wert - Abzug","entfällt")</f>
        <v>entfällt</v>
      </c>
      <c r="H28" s="66">
        <f t="shared" si="0"/>
        <v>0</v>
      </c>
    </row>
    <row r="29" spans="1:8" outlineLevel="1" x14ac:dyDescent="0.35">
      <c r="A29" s="110" t="str">
        <f>IF(H2&gt;15,"TN","entfällt")</f>
        <v>entfällt</v>
      </c>
      <c r="B29" s="111"/>
      <c r="C29" s="77"/>
      <c r="D29" s="78"/>
      <c r="E29" s="78"/>
      <c r="F29" s="42"/>
      <c r="G29" s="71" t="str">
        <f>IF(H2&gt;16,"Wert - Abzug","entfällt")</f>
        <v>entfällt</v>
      </c>
      <c r="H29" s="66">
        <f>IF(A29="entfällt",0,IF(F29="",0,D29-F29))</f>
        <v>0</v>
      </c>
    </row>
    <row r="30" spans="1:8" outlineLevel="1" x14ac:dyDescent="0.35">
      <c r="A30" s="165" t="str">
        <f>IF($H$2&gt;10,"Verbindung Sprung 1","entfällt")</f>
        <v>Verbindung Sprung 1</v>
      </c>
      <c r="B30" s="166"/>
      <c r="C30" s="40" t="str">
        <f ca="1">IF(A30&lt;&gt;"entfällt",VLOOKUP(1,INDIRECT($C$68),2,0),"")</f>
        <v>40/</v>
      </c>
      <c r="D30" s="40">
        <f ca="1">IF(A30&lt;&gt;"entfällt",VLOOKUP(1,INDIRECT($C$68),3,0),"")</f>
        <v>6</v>
      </c>
      <c r="E30" s="40">
        <f ca="1">IF(A30&lt;&gt;"entfällt",VLOOKUP(1,INDIRECT($C$68),4,0),"")</f>
        <v>3</v>
      </c>
      <c r="F30" s="42">
        <v>3</v>
      </c>
      <c r="G30" s="71" t="str">
        <f>IF(H2&gt;12,"Wert - Abzug","entfällt")</f>
        <v>Wert - Abzug</v>
      </c>
      <c r="H30" s="66"/>
    </row>
    <row r="31" spans="1:8" outlineLevel="1" x14ac:dyDescent="0.35">
      <c r="A31" s="165" t="str">
        <f>IF($H$2&gt;10,"Verbindung Sprung 2","entfällt")</f>
        <v>Verbindung Sprung 2</v>
      </c>
      <c r="B31" s="166"/>
      <c r="C31" s="40" t="str">
        <f ca="1">IF(A31&lt;&gt;"entfällt",VLOOKUP(2,INDIRECT($C$68),2,0),"")</f>
        <v>41/</v>
      </c>
      <c r="D31" s="40">
        <f ca="1">IF(A31&lt;&gt;"entfällt",VLOOKUP(2,INDIRECT($C$68),3,0),"")</f>
        <v>6</v>
      </c>
      <c r="E31" s="40">
        <f ca="1">IF(A31&lt;&gt;"entfällt",VLOOKUP(2,INDIRECT($C$68),4,0),"")</f>
        <v>3</v>
      </c>
      <c r="F31" s="42">
        <v>2</v>
      </c>
      <c r="G31" s="71" t="str">
        <f>IF(H2&gt;12,"Wert - Abzug","entfällt")</f>
        <v>Wert - Abzug</v>
      </c>
      <c r="H31" s="66"/>
    </row>
    <row r="32" spans="1:8" outlineLevel="1" x14ac:dyDescent="0.35">
      <c r="A32" s="165" t="str">
        <f>IF($H$2&gt;10,"Verbindung Sprung 3","entfällt")</f>
        <v>Verbindung Sprung 3</v>
      </c>
      <c r="B32" s="166"/>
      <c r="C32" s="40" t="str">
        <f ca="1">IF(A32&lt;&gt;"entfällt",VLOOKUP(3,INDIRECT($C$68),2,0),"")</f>
        <v>42/</v>
      </c>
      <c r="D32" s="40">
        <f ca="1">IF(A32&lt;&gt;"entfällt",VLOOKUP(3,INDIRECT($C$68),3,0),"")</f>
        <v>7</v>
      </c>
      <c r="E32" s="40">
        <f ca="1">IF(A32&lt;&gt;"entfällt",VLOOKUP(3,INDIRECT($C$68),4,0),"")</f>
        <v>3</v>
      </c>
      <c r="F32" s="42">
        <v>3</v>
      </c>
      <c r="G32" s="71" t="str">
        <f>IF(H2&gt;12,"Wert - Abzug","entfällt")</f>
        <v>Wert - Abzug</v>
      </c>
      <c r="H32" s="66"/>
    </row>
    <row r="33" spans="1:8" outlineLevel="1" x14ac:dyDescent="0.35">
      <c r="A33" s="165" t="str">
        <f>IF($H$2&gt;10,"Verbindung Sprung 4","entfällt")</f>
        <v>Verbindung Sprung 4</v>
      </c>
      <c r="B33" s="166"/>
      <c r="C33" s="40" t="str">
        <f ca="1">IF(A33&lt;&gt;"entfällt",VLOOKUP(4,INDIRECT($C$68),2,0),"")</f>
        <v>40°</v>
      </c>
      <c r="D33" s="40">
        <f ca="1">IF(A33&lt;&gt;"entfällt",VLOOKUP(4,INDIRECT($C$68),3,0),"")</f>
        <v>5</v>
      </c>
      <c r="E33" s="40">
        <f ca="1">IF(A33&lt;&gt;"entfällt",VLOOKUP(4,INDIRECT($C$68),4,0),"")</f>
        <v>3</v>
      </c>
      <c r="F33" s="42">
        <v>3</v>
      </c>
      <c r="G33" s="71" t="str">
        <f>IF(H2&gt;12,"Wert - Abzug","entfällt")</f>
        <v>Wert - Abzug</v>
      </c>
      <c r="H33" s="66"/>
    </row>
    <row r="34" spans="1:8" outlineLevel="1" x14ac:dyDescent="0.35">
      <c r="A34" s="165" t="str">
        <f>IF($H$2&gt;10,"Verbindung Sprung 5","entfällt")</f>
        <v>Verbindung Sprung 5</v>
      </c>
      <c r="B34" s="166"/>
      <c r="C34" s="40" t="str">
        <f ca="1">IF(A34&lt;&gt;"entfällt",VLOOKUP(5,INDIRECT($C$68),2,0),"")</f>
        <v>41°</v>
      </c>
      <c r="D34" s="40">
        <f ca="1">IF(A34&lt;&gt;"entfällt",VLOOKUP(5,INDIRECT($C$68),3,0),"")</f>
        <v>6</v>
      </c>
      <c r="E34" s="40">
        <f ca="1">IF(A34&lt;&gt;"entfällt",VLOOKUP(5,INDIRECT($C$68),4,0),"")</f>
        <v>3</v>
      </c>
      <c r="F34" s="42">
        <v>2</v>
      </c>
      <c r="G34" s="71" t="str">
        <f>IF(H2&gt;12,"Wert - Abzug","entfällt")</f>
        <v>Wert - Abzug</v>
      </c>
      <c r="H34" s="66"/>
    </row>
    <row r="35" spans="1:8" ht="15" outlineLevel="1" thickBot="1" x14ac:dyDescent="0.4">
      <c r="A35" s="171" t="str">
        <f>IF($H$2&gt;10,"Verbindung Sprung 6","entfällt")</f>
        <v>Verbindung Sprung 6</v>
      </c>
      <c r="B35" s="172"/>
      <c r="C35" s="68" t="str">
        <f ca="1">IF(A35&lt;&gt;"entfällt",VLOOKUP(6,INDIRECT($C$68),2,0),"")</f>
        <v>800°</v>
      </c>
      <c r="D35" s="68">
        <f ca="1">IF(A35&lt;&gt;"entfällt",VLOOKUP(6,INDIRECT($C$68),3,0),"")</f>
        <v>10</v>
      </c>
      <c r="E35" s="68">
        <f ca="1">IF(A35&lt;&gt;"entfällt",VLOOKUP(6,INDIRECT($C$68),4,0),"")</f>
        <v>3</v>
      </c>
      <c r="F35" s="69">
        <v>2</v>
      </c>
      <c r="G35" s="72" t="str">
        <f>IF(H2&gt;12,"Wert - Abzug","entfällt")</f>
        <v>Wert - Abzug</v>
      </c>
      <c r="H35" s="70">
        <f>30-F30-F31-F32-F33-F34-F35</f>
        <v>15</v>
      </c>
    </row>
    <row r="36" spans="1:8" ht="15" thickBot="1" x14ac:dyDescent="0.4">
      <c r="A36" s="173" t="s">
        <v>41</v>
      </c>
      <c r="B36" s="174"/>
      <c r="C36" s="174"/>
      <c r="D36" s="174"/>
      <c r="E36" s="174"/>
      <c r="F36" s="174"/>
      <c r="G36" s="175"/>
      <c r="H36" s="89">
        <f>SUM(H20:H35)</f>
        <v>85.999999999999986</v>
      </c>
    </row>
    <row r="37" spans="1:8" ht="15" outlineLevel="1" thickBot="1" x14ac:dyDescent="0.4">
      <c r="A37" s="181" t="s">
        <v>99</v>
      </c>
      <c r="B37" s="182"/>
      <c r="C37" s="182"/>
      <c r="D37" s="183"/>
      <c r="E37" s="85" t="s">
        <v>27</v>
      </c>
      <c r="F37" s="85" t="s">
        <v>237</v>
      </c>
      <c r="G37" s="86" t="s">
        <v>28</v>
      </c>
      <c r="H37" s="49" t="s">
        <v>234</v>
      </c>
    </row>
    <row r="38" spans="1:8" outlineLevel="1" x14ac:dyDescent="0.35">
      <c r="A38" s="179" t="str">
        <f ca="1">VLOOKUP(1,INDIRECT($C$65),2,0)</f>
        <v>Salto vorwärts mit Anlauf</v>
      </c>
      <c r="B38" s="180"/>
      <c r="C38" s="180"/>
      <c r="D38" s="180"/>
      <c r="E38" s="92">
        <f ca="1">VLOOKUP(1,INDIRECT($C$65),3,0)</f>
        <v>3</v>
      </c>
      <c r="F38" s="79">
        <v>0</v>
      </c>
      <c r="G38" s="80" t="s">
        <v>146</v>
      </c>
      <c r="H38" s="84">
        <f ca="1">IF(E38=" ","",IF(F38="",0,E38-F38))</f>
        <v>3</v>
      </c>
    </row>
    <row r="39" spans="1:8" outlineLevel="1" x14ac:dyDescent="0.35">
      <c r="A39" s="163" t="str">
        <f ca="1">VLOOKUP(2,INDIRECT($C$65),2,0)</f>
        <v>Handstand, 1/1 Drehung, Abrollen</v>
      </c>
      <c r="B39" s="164"/>
      <c r="C39" s="164"/>
      <c r="D39" s="164"/>
      <c r="E39" s="87">
        <f ca="1">VLOOKUP(2,INDIRECT($C$65),3,0)</f>
        <v>3</v>
      </c>
      <c r="F39" s="43">
        <v>0</v>
      </c>
      <c r="G39" s="81" t="s">
        <v>146</v>
      </c>
      <c r="H39" s="84">
        <f t="shared" ref="H39:H49" ca="1" si="1">IF(E39=" ","",IF(F39="",0,E39-F39))</f>
        <v>3</v>
      </c>
    </row>
    <row r="40" spans="1:8" outlineLevel="1" x14ac:dyDescent="0.35">
      <c r="A40" s="163" t="str">
        <f ca="1">VLOOKUP(3,INDIRECT($C$65),2,0)</f>
        <v>Strecksprung 1/2 Drehung</v>
      </c>
      <c r="B40" s="164"/>
      <c r="C40" s="164"/>
      <c r="D40" s="164"/>
      <c r="E40" s="87">
        <f ca="1">VLOOKUP(3,INDIRECT($C$65),3,0)</f>
        <v>1.5</v>
      </c>
      <c r="F40" s="43">
        <v>0.5</v>
      </c>
      <c r="G40" s="81" t="s">
        <v>146</v>
      </c>
      <c r="H40" s="84">
        <f t="shared" ca="1" si="1"/>
        <v>1</v>
      </c>
    </row>
    <row r="41" spans="1:8" outlineLevel="1" x14ac:dyDescent="0.35">
      <c r="A41" s="163" t="str">
        <f ca="1">VLOOKUP(4,INDIRECT($C$65),2,0)</f>
        <v>Vorspreizen, Handstandhüpfer, Abrollen Grätschsitz</v>
      </c>
      <c r="B41" s="164"/>
      <c r="C41" s="164"/>
      <c r="D41" s="164"/>
      <c r="E41" s="87">
        <f ca="1">VLOOKUP(4,INDIRECT($C$65),3,0)</f>
        <v>1.5</v>
      </c>
      <c r="F41" s="43">
        <v>0</v>
      </c>
      <c r="G41" s="81" t="s">
        <v>146</v>
      </c>
      <c r="H41" s="84">
        <f t="shared" ca="1" si="1"/>
        <v>1.5</v>
      </c>
    </row>
    <row r="42" spans="1:8" outlineLevel="1" x14ac:dyDescent="0.35">
      <c r="A42" s="163" t="str">
        <f ca="1">VLOOKUP(5,INDIRECT($C$65),2,0)</f>
        <v>Briefmarke, Rückgrätschen --&gt; Bauchlage</v>
      </c>
      <c r="B42" s="164"/>
      <c r="C42" s="164"/>
      <c r="D42" s="164"/>
      <c r="E42" s="87">
        <f ca="1">VLOOKUP(5,INDIRECT($C$65),3,0)</f>
        <v>3</v>
      </c>
      <c r="F42" s="43">
        <v>0</v>
      </c>
      <c r="G42" s="81" t="s">
        <v>146</v>
      </c>
      <c r="H42" s="84">
        <f t="shared" ca="1" si="1"/>
        <v>3</v>
      </c>
    </row>
    <row r="43" spans="1:8" outlineLevel="1" x14ac:dyDescent="0.35">
      <c r="A43" s="163" t="str">
        <f ca="1">VLOOKUP(6,INDIRECT($C$65),2,0)</f>
        <v>Kniestand, Abdrücken gebückt --&gt; Handstand, abrollen</v>
      </c>
      <c r="B43" s="164"/>
      <c r="C43" s="164"/>
      <c r="D43" s="164"/>
      <c r="E43" s="87">
        <f ca="1">VLOOKUP(6,INDIRECT($C$65),3,0)</f>
        <v>3</v>
      </c>
      <c r="F43" s="43">
        <v>2</v>
      </c>
      <c r="G43" s="81" t="s">
        <v>146</v>
      </c>
      <c r="H43" s="84">
        <f t="shared" ca="1" si="1"/>
        <v>1</v>
      </c>
    </row>
    <row r="44" spans="1:8" outlineLevel="1" x14ac:dyDescent="0.35">
      <c r="A44" s="163" t="str">
        <f ca="1">VLOOKUP(7,INDIRECT($C$65),2,0)</f>
        <v>Vorspreizen, Standwaage --&gt; abrollen, einbeinig rechts auf</v>
      </c>
      <c r="B44" s="164"/>
      <c r="C44" s="164"/>
      <c r="D44" s="164"/>
      <c r="E44" s="87">
        <f ca="1">VLOOKUP(7,INDIRECT($C$65),3,0)</f>
        <v>3.5</v>
      </c>
      <c r="F44" s="43">
        <v>0.5</v>
      </c>
      <c r="G44" s="81" t="s">
        <v>146</v>
      </c>
      <c r="H44" s="84">
        <f t="shared" ca="1" si="1"/>
        <v>3</v>
      </c>
    </row>
    <row r="45" spans="1:8" outlineLevel="1" x14ac:dyDescent="0.35">
      <c r="A45" s="163" t="str">
        <f ca="1">VLOOKUP(8,INDIRECT($C$65),2,0)</f>
        <v>Vorspreizen, Standwaage --&gt; abrollen, einbeinig links auf</v>
      </c>
      <c r="B45" s="164"/>
      <c r="C45" s="164"/>
      <c r="D45" s="164"/>
      <c r="E45" s="87">
        <f ca="1">VLOOKUP(8,INDIRECT($C$65),3,0)</f>
        <v>3.5</v>
      </c>
      <c r="F45" s="43">
        <v>0.5</v>
      </c>
      <c r="G45" s="81" t="s">
        <v>146</v>
      </c>
      <c r="H45" s="84">
        <f t="shared" ca="1" si="1"/>
        <v>3</v>
      </c>
    </row>
    <row r="46" spans="1:8" outlineLevel="1" x14ac:dyDescent="0.35">
      <c r="A46" s="163" t="str">
        <f ca="1">VLOOKUP(9,INDIRECT($C$65),2,0)</f>
        <v>Rolle rückwärts durch Handstand</v>
      </c>
      <c r="B46" s="164"/>
      <c r="C46" s="164"/>
      <c r="D46" s="164"/>
      <c r="E46" s="87">
        <f ca="1">VLOOKUP(9,INDIRECT($C$65),3,0)</f>
        <v>3</v>
      </c>
      <c r="F46" s="43">
        <v>2.5</v>
      </c>
      <c r="G46" s="81" t="str">
        <f>IF(H2&gt;16,"","Wert - Abzug")</f>
        <v>Wert - Abzug</v>
      </c>
      <c r="H46" s="84">
        <f t="shared" ca="1" si="1"/>
        <v>0.5</v>
      </c>
    </row>
    <row r="47" spans="1:8" outlineLevel="1" x14ac:dyDescent="0.35">
      <c r="A47" s="163" t="str">
        <f ca="1">VLOOKUP(10,INDIRECT($C$65),2,0)</f>
        <v>Strecksprung 1/2 Drehung</v>
      </c>
      <c r="B47" s="164"/>
      <c r="C47" s="164"/>
      <c r="D47" s="164"/>
      <c r="E47" s="87">
        <f ca="1">VLOOKUP(10,INDIRECT($C$65),3,0)</f>
        <v>1</v>
      </c>
      <c r="F47" s="43">
        <v>0</v>
      </c>
      <c r="G47" s="81" t="str">
        <f>IF(H2&gt;16,"","Wert - Abzug")</f>
        <v>Wert - Abzug</v>
      </c>
      <c r="H47" s="84">
        <f t="shared" ca="1" si="1"/>
        <v>1</v>
      </c>
    </row>
    <row r="48" spans="1:8" outlineLevel="1" x14ac:dyDescent="0.35">
      <c r="A48" s="163" t="str">
        <f ca="1">VLOOKUP(11,INDIRECT($C$65),2,0)</f>
        <v>Sprungrolle mit Anlauf</v>
      </c>
      <c r="B48" s="164"/>
      <c r="C48" s="164"/>
      <c r="D48" s="164"/>
      <c r="E48" s="87">
        <f ca="1">VLOOKUP(11,INDIRECT($C$65),3,0)</f>
        <v>2</v>
      </c>
      <c r="F48" s="43">
        <v>0</v>
      </c>
      <c r="G48" s="81" t="str">
        <f>IF(H2&gt;13,"","Wert - Abzug")</f>
        <v>Wert - Abzug</v>
      </c>
      <c r="H48" s="84">
        <f t="shared" ca="1" si="1"/>
        <v>2</v>
      </c>
    </row>
    <row r="49" spans="1:8" ht="15" outlineLevel="1" thickBot="1" x14ac:dyDescent="0.4">
      <c r="A49" s="184" t="str">
        <f ca="1">VLOOKUP(12,INDIRECT($C$65),2,0)</f>
        <v>Strecksprung 1/1 Drehung</v>
      </c>
      <c r="B49" s="185"/>
      <c r="C49" s="185"/>
      <c r="D49" s="185"/>
      <c r="E49" s="93">
        <f ca="1">VLOOKUP(12,INDIRECT($C$65),3,0)</f>
        <v>2</v>
      </c>
      <c r="F49" s="82">
        <v>0</v>
      </c>
      <c r="G49" s="83" t="str">
        <f>IF(OR(H2=9,H2=12,H2=13),"Wert - Abzug","")</f>
        <v>Wert - Abzug</v>
      </c>
      <c r="H49" s="84">
        <f t="shared" ca="1" si="1"/>
        <v>2</v>
      </c>
    </row>
    <row r="50" spans="1:8" ht="15" thickBot="1" x14ac:dyDescent="0.4">
      <c r="A50" s="176" t="s">
        <v>98</v>
      </c>
      <c r="B50" s="177"/>
      <c r="C50" s="177"/>
      <c r="D50" s="177"/>
      <c r="E50" s="177"/>
      <c r="F50" s="177"/>
      <c r="G50" s="178"/>
      <c r="H50" s="44">
        <f ca="1">SUM(H38:H49)</f>
        <v>24</v>
      </c>
    </row>
    <row r="51" spans="1:8" ht="16" thickBot="1" x14ac:dyDescent="0.4">
      <c r="A51" s="169" t="s">
        <v>42</v>
      </c>
      <c r="B51" s="170"/>
      <c r="C51" s="170"/>
      <c r="D51" s="170"/>
      <c r="E51" s="170"/>
      <c r="F51" s="170"/>
      <c r="G51" s="170"/>
      <c r="H51" s="94">
        <f ca="1">SUM(H9,H18,H36,H50)</f>
        <v>213</v>
      </c>
    </row>
    <row r="52" spans="1:8" s="23" customFormat="1" x14ac:dyDescent="0.35">
      <c r="D52" s="50"/>
      <c r="E52" s="50"/>
      <c r="F52" s="50"/>
      <c r="G52" s="50"/>
    </row>
    <row r="53" spans="1:8" s="23" customFormat="1" hidden="1" x14ac:dyDescent="0.35">
      <c r="C53" s="24"/>
      <c r="D53" s="50"/>
      <c r="E53" s="50"/>
      <c r="F53" s="50"/>
      <c r="G53" s="50"/>
    </row>
    <row r="54" spans="1:8" s="23" customFormat="1" hidden="1" x14ac:dyDescent="0.35">
      <c r="B54" s="23" t="s">
        <v>249</v>
      </c>
      <c r="C54" s="23" t="str">
        <f>IF(H2&lt;13,"beide",F1)</f>
        <v>weiblich</v>
      </c>
      <c r="D54" s="50"/>
      <c r="E54" s="50"/>
      <c r="F54" s="50"/>
      <c r="G54" s="50"/>
    </row>
    <row r="55" spans="1:8" s="23" customFormat="1" hidden="1" x14ac:dyDescent="0.35">
      <c r="B55" s="23" t="s">
        <v>3</v>
      </c>
      <c r="C55" s="23" t="str">
        <f>IF(OR(H2=8,H2=11),H2,IF(H2&lt;11,"9_10",IF(H2&lt;14,"12_13",IF(H2&lt;16,"14_15",IF(H2&lt;18,"16_17",18)))))</f>
        <v>12_13</v>
      </c>
      <c r="D55" s="50"/>
      <c r="E55" s="50"/>
      <c r="F55" s="50"/>
      <c r="G55" s="50"/>
    </row>
    <row r="56" spans="1:8" s="23" customFormat="1" hidden="1" x14ac:dyDescent="0.35">
      <c r="D56" s="50"/>
      <c r="E56" s="50"/>
      <c r="F56" s="50"/>
      <c r="G56" s="50"/>
    </row>
    <row r="57" spans="1:8" s="23" customFormat="1" hidden="1" x14ac:dyDescent="0.35">
      <c r="B57" s="23" t="s">
        <v>251</v>
      </c>
      <c r="C57" s="23" t="str">
        <f>"TBN_"&amp;C54&amp;"_"&amp;C55</f>
        <v>TBN_weiblich_12_13</v>
      </c>
      <c r="D57" s="50"/>
      <c r="E57" s="50"/>
      <c r="F57" s="50"/>
      <c r="G57" s="50"/>
    </row>
    <row r="58" spans="1:8" s="23" customFormat="1" hidden="1" x14ac:dyDescent="0.35">
      <c r="C58" s="23" t="str">
        <f>C57&amp;"[Beschreibung]"</f>
        <v>TBN_weiblich_12_13[Beschreibung]</v>
      </c>
      <c r="D58" s="50"/>
      <c r="E58" s="50"/>
      <c r="F58" s="50"/>
      <c r="G58" s="50"/>
    </row>
    <row r="59" spans="1:8" s="23" customFormat="1" hidden="1" x14ac:dyDescent="0.35">
      <c r="D59" s="50"/>
      <c r="E59" s="50"/>
      <c r="F59" s="50"/>
      <c r="G59" s="50"/>
    </row>
    <row r="60" spans="1:8" s="23" customFormat="1" hidden="1" x14ac:dyDescent="0.35">
      <c r="B60" s="23" t="s">
        <v>147</v>
      </c>
      <c r="C60" s="23" t="str">
        <f>"TN_"&amp;C54&amp;"_"&amp;C55</f>
        <v>TN_weiblich_12_13</v>
      </c>
      <c r="D60" s="50"/>
      <c r="E60" s="50"/>
      <c r="F60" s="50"/>
      <c r="G60" s="50"/>
    </row>
    <row r="61" spans="1:8" s="23" customFormat="1" hidden="1" x14ac:dyDescent="0.35">
      <c r="C61" s="23" t="str">
        <f>C60&amp;"[Beschreibung]"</f>
        <v>TN_weiblich_12_13[Beschreibung]</v>
      </c>
      <c r="D61" s="50"/>
      <c r="E61" s="50"/>
      <c r="F61" s="50"/>
      <c r="G61" s="50"/>
    </row>
    <row r="62" spans="1:8" s="23" customFormat="1" hidden="1" x14ac:dyDescent="0.35">
      <c r="D62" s="50"/>
      <c r="E62" s="50"/>
      <c r="F62" s="50"/>
      <c r="G62" s="50"/>
    </row>
    <row r="63" spans="1:8" s="23" customFormat="1" hidden="1" x14ac:dyDescent="0.35">
      <c r="B63" s="23" t="s">
        <v>17</v>
      </c>
      <c r="C63" s="23" t="str">
        <f>"TV_"&amp;F1&amp;"_"&amp;C55</f>
        <v>TV_weiblich_12_13</v>
      </c>
      <c r="D63" s="50"/>
      <c r="E63" s="50"/>
      <c r="F63" s="50"/>
      <c r="G63" s="50"/>
    </row>
    <row r="64" spans="1:8" s="23" customFormat="1" hidden="1" x14ac:dyDescent="0.35">
      <c r="D64" s="50"/>
      <c r="E64" s="50"/>
      <c r="F64" s="50"/>
      <c r="G64" s="50"/>
    </row>
    <row r="65" spans="2:7" s="23" customFormat="1" hidden="1" x14ac:dyDescent="0.35">
      <c r="B65" s="23" t="s">
        <v>252</v>
      </c>
      <c r="C65" s="23" t="str">
        <f>"BKÜ"&amp;IF(H2=9,"_9",IF(H2&lt;12,"_10_11",IF(H2&lt;14,"_12_13",IF(H2&lt;17,"_14_16","_17"))))</f>
        <v>BKÜ_12_13</v>
      </c>
      <c r="D65" s="50"/>
      <c r="E65" s="50"/>
      <c r="F65" s="50"/>
      <c r="G65" s="50"/>
    </row>
    <row r="66" spans="2:7" s="23" customFormat="1" hidden="1" x14ac:dyDescent="0.35">
      <c r="D66" s="50"/>
      <c r="E66" s="50"/>
      <c r="F66" s="50"/>
      <c r="G66" s="50"/>
    </row>
    <row r="67" spans="2:7" s="23" customFormat="1" hidden="1" x14ac:dyDescent="0.35">
      <c r="B67" s="23" t="s">
        <v>250</v>
      </c>
      <c r="C67" s="23" t="str">
        <f>IF(H2&lt;17,"beide",F1)</f>
        <v>beide</v>
      </c>
      <c r="D67" s="50"/>
      <c r="E67" s="50"/>
      <c r="F67" s="50"/>
      <c r="G67" s="50"/>
    </row>
    <row r="68" spans="2:7" s="23" customFormat="1" hidden="1" x14ac:dyDescent="0.35">
      <c r="B68" s="23" t="s">
        <v>17</v>
      </c>
      <c r="C68" s="23" t="str">
        <f>"TV_"&amp;C67&amp;"_"&amp;C55</f>
        <v>TV_beide_12_13</v>
      </c>
      <c r="D68" s="50"/>
      <c r="E68" s="50"/>
      <c r="F68" s="50"/>
      <c r="G68" s="50"/>
    </row>
    <row r="69" spans="2:7" x14ac:dyDescent="0.35"/>
    <row r="70" spans="2:7" x14ac:dyDescent="0.35"/>
  </sheetData>
  <sheetProtection algorithmName="SHA-512" hashValue="TOOctMfZiCjt9oG/8aGQ7mnOHqOlhlo2IHZ/cCKKPmpzCYYr6hObL5yX3QiQAsRsIL+N2f7uL6kT9DtknmJZtg==" saltValue="MCjvaJYfVmgSHhXtIAgf8A==" spinCount="100000" sheet="1" objects="1" scenarios="1" selectLockedCells="1"/>
  <protectedRanges>
    <protectedRange sqref="H1:H2 F1:F2 B1:B2" name="Athletendaten"/>
    <protectedRange sqref="F38:F49 C20:F35 D69:E440 C69:C441 F4:F8 C38:E68 C11:E16 F11:F17" name="Werte und Varianten"/>
    <protectedRange algorithmName="SHA-512" hashValue="EtPG7jm6pk6JVG08ToKZL4Sto4PS6TOUsygvFmj6DTfcGnX6DwKdfjTEg/2X1Hwnu/CwfNhBUSnXKs/oLqcupQ==" saltValue="sPse4fdTsI5OFESYvRIl8Q==" spinCount="100000" sqref="H4:H8 H38:H49 H20:H35 H11:H17" name="Punktzahlen"/>
  </protectedRanges>
  <mergeCells count="44">
    <mergeCell ref="A50:G50"/>
    <mergeCell ref="A51:G51"/>
    <mergeCell ref="A44:D44"/>
    <mergeCell ref="A45:D45"/>
    <mergeCell ref="A46:D46"/>
    <mergeCell ref="A47:D47"/>
    <mergeCell ref="A48:D48"/>
    <mergeCell ref="A49:D49"/>
    <mergeCell ref="A43:D43"/>
    <mergeCell ref="A32:B32"/>
    <mergeCell ref="A33:B33"/>
    <mergeCell ref="A34:B34"/>
    <mergeCell ref="A35:B35"/>
    <mergeCell ref="A36:G36"/>
    <mergeCell ref="A37:D37"/>
    <mergeCell ref="A38:D38"/>
    <mergeCell ref="A39:D39"/>
    <mergeCell ref="A40:D40"/>
    <mergeCell ref="A41:D41"/>
    <mergeCell ref="A42:D42"/>
    <mergeCell ref="A31:B31"/>
    <mergeCell ref="A13:E13"/>
    <mergeCell ref="A14:E14"/>
    <mergeCell ref="A15:E15"/>
    <mergeCell ref="A16:E16"/>
    <mergeCell ref="A18:G18"/>
    <mergeCell ref="A19:C19"/>
    <mergeCell ref="A20:B20"/>
    <mergeCell ref="A21:B21"/>
    <mergeCell ref="A22:B22"/>
    <mergeCell ref="A23:B23"/>
    <mergeCell ref="A30:B30"/>
    <mergeCell ref="A12:E12"/>
    <mergeCell ref="B1:E1"/>
    <mergeCell ref="B2:F2"/>
    <mergeCell ref="A3:E3"/>
    <mergeCell ref="A4:E4"/>
    <mergeCell ref="A5:E5"/>
    <mergeCell ref="A6:E6"/>
    <mergeCell ref="A7:E7"/>
    <mergeCell ref="A8:E8"/>
    <mergeCell ref="A9:G9"/>
    <mergeCell ref="A10:E10"/>
    <mergeCell ref="A11:E11"/>
  </mergeCells>
  <conditionalFormatting sqref="F46:F49">
    <cfRule type="expression" dxfId="195" priority="3">
      <formula>$A46=" "</formula>
    </cfRule>
  </conditionalFormatting>
  <conditionalFormatting sqref="B24:B29 C21:E29">
    <cfRule type="expression" dxfId="194" priority="2">
      <formula>$A21="entfällt"</formula>
    </cfRule>
    <cfRule type="expression" dxfId="193" priority="4">
      <formula>$H$2&gt;14</formula>
    </cfRule>
  </conditionalFormatting>
  <conditionalFormatting sqref="B24:B29">
    <cfRule type="expression" dxfId="192" priority="1">
      <formula>AND($A24="TN",$C24&lt;&gt;"")</formula>
    </cfRule>
  </conditionalFormatting>
  <dataValidations count="19">
    <dataValidation type="decimal" errorStyle="warning" allowBlank="1" showInputMessage="1" showErrorMessage="1" error="Eingegebener Abzug überschreitet maximal zulässigen Abzug, Wert bitte überprüfen!" sqref="F21:F35" xr:uid="{09DD5D58-3B96-4366-AB61-B37F8A3694A7}">
      <formula1>0</formula1>
      <formula2>$E21</formula2>
    </dataValidation>
    <dataValidation type="list" allowBlank="1" showInputMessage="1" showErrorMessage="1" sqref="C20" xr:uid="{51A07846-7A21-4236-8658-4DECDEB7F26B}">
      <formula1>"Lichtschranke,Druckmessplatte"</formula1>
    </dataValidation>
    <dataValidation type="whole" allowBlank="1" showInputMessage="1" showErrorMessage="1" errorTitle="Falsche Eingabe" error="Bitte Wert prüfen" sqref="D17" xr:uid="{8F70FC63-0506-4A35-9BF9-5B27B4EA6CF3}">
      <formula1>1</formula1>
      <formula2>13</formula2>
    </dataValidation>
    <dataValidation type="list" allowBlank="1" showInputMessage="1" sqref="C24:C29" xr:uid="{9702FB51-4D9F-41E4-BD2B-956AD68648B1}">
      <formula1>INDIRECT($C$61)</formula1>
    </dataValidation>
    <dataValidation type="list" allowBlank="1" showInputMessage="1" sqref="C21:C23" xr:uid="{A848778D-F631-4707-AAE3-F6F9A8325CC3}">
      <formula1>INDIRECT($C$58)</formula1>
    </dataValidation>
    <dataValidation allowBlank="1" showInputMessage="1" showErrorMessage="1" prompt="Anzahl der Wiederholungen" sqref="F11" xr:uid="{B5801A7A-84F0-4229-B4B3-F7EC7E25E288}"/>
    <dataValidation type="whole" allowBlank="1" showInputMessage="1" showErrorMessage="1" prompt="Abstand von der Oberkante des Turnhockers zur schlechtesten Fingerspitze in cm" sqref="F6" xr:uid="{042F635F-3324-4E33-AA93-60687454E17B}">
      <formula1>-50</formula1>
      <formula2>50</formula2>
    </dataValidation>
    <dataValidation type="list" allowBlank="1" showInputMessage="1" showErrorMessage="1" prompt="Punktzahl nach Vergleich mit Bild" sqref="F5" xr:uid="{C149F52A-7C0F-4500-A4D6-CFD45863174C}">
      <formula1>"0,2,6,10"</formula1>
    </dataValidation>
    <dataValidation type="whole" allowBlank="1" showErrorMessage="1" errorTitle="Falsche Eingabe" error="Bitte Wert prüfen" prompt="Höchste erreichte Stufe" sqref="F17" xr:uid="{9A32783A-0B36-44B3-8EEF-3E1AC358D0C8}">
      <formula1>1</formula1>
      <formula2>11</formula2>
    </dataValidation>
    <dataValidation allowBlank="1" sqref="D20:E20" xr:uid="{0EF9CD79-D96C-4093-8711-C6C10BC4D993}"/>
    <dataValidation type="decimal" errorStyle="warning" allowBlank="1" showInputMessage="1" showErrorMessage="1" error="Abzug höher als Wert des Elements, bitte überprüfen!" prompt="Abzug" sqref="F38:F49" xr:uid="{12FC7E19-BD14-4D69-9CE8-C7EA964DEE54}">
      <formula1>0</formula1>
      <formula2>$E38</formula2>
    </dataValidation>
    <dataValidation type="whole" allowBlank="1" showInputMessage="1" showErrorMessage="1" prompt="AKs 9 - 13: Übersprungene Kästchen_x000a__x000a_AKs 14 - 21: Anzahl Saltos" sqref="F15" xr:uid="{6A97FCAD-49D6-4C7D-A2EA-7ED17C8DBAFB}">
      <formula1>0</formula1>
      <formula2>50</formula2>
    </dataValidation>
    <dataValidation type="list" allowBlank="1" showInputMessage="1" showErrorMessage="1" sqref="F1" xr:uid="{41A635CE-5232-4FC1-872C-874E3DA432BB}">
      <formula1>"männlich,weiblich"</formula1>
    </dataValidation>
    <dataValidation type="whole" allowBlank="1" showInputMessage="1" showErrorMessage="1" sqref="H4:H8" xr:uid="{9DB080B7-68C5-47E4-9B82-E20EAC09BB97}">
      <formula1>0</formula1>
      <formula2>10</formula2>
    </dataValidation>
    <dataValidation type="whole" allowBlank="1" showInputMessage="1" showErrorMessage="1" prompt="Haltezeit in Sekunden" sqref="F13" xr:uid="{4A3FB85F-ABFA-4220-85B9-D3C8A3A5E783}">
      <formula1>0</formula1>
      <formula2>200</formula2>
    </dataValidation>
    <dataValidation type="whole" allowBlank="1" showInputMessage="1" showErrorMessage="1" prompt="Haltezeit in Sekunden" sqref="F16" xr:uid="{BEC266DB-2EAD-45CC-B3BD-151C68C6F9EB}">
      <formula1>0</formula1>
      <formula2>100</formula2>
    </dataValidation>
    <dataValidation type="whole" allowBlank="1" showInputMessage="1" showErrorMessage="1" prompt="Anzahl der Wiederholungen" sqref="F14 F12" xr:uid="{FDB908A2-9117-4149-8522-D1C99D4AC8D8}">
      <formula1>0</formula1>
      <formula2>50</formula2>
    </dataValidation>
    <dataValidation type="list" operator="equal" allowBlank="1" showInputMessage="1" showErrorMessage="1" prompt="Punktzahl nach Vergleich mit Bild" sqref="F4" xr:uid="{8FB148D4-5659-4F42-A0AB-58A333B43EF9}">
      <formula1>"0,2,6,10"</formula1>
    </dataValidation>
    <dataValidation type="decimal" errorStyle="warning" showDropDown="1" showErrorMessage="1" error="Wert unrealistisch hoch, bitte Eingabe überprüfen" promptTitle="Vorsicht" sqref="F20" xr:uid="{629DF99F-690E-430C-97B7-9302B123AE8F}">
      <formula1>0</formula1>
      <formula2>30</formula2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Bitte Werte aus Dropdown auswählen" prompt="Abstand vom Boden laut Schablone" xr:uid="{37014AF9-5F2A-4C42-990D-73105E7971D4}">
          <x14:formula1>
            <xm:f>Punktetabellen!$A$3:$A$6</xm:f>
          </x14:formula1>
          <xm:sqref>F7:F8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0F12A-9D0C-47DF-822A-77EC02CFF52D}">
  <sheetPr codeName="Tabelle11">
    <tabColor indexed="47"/>
    <pageSetUpPr fitToPage="1"/>
  </sheetPr>
  <dimension ref="A1:J70"/>
  <sheetViews>
    <sheetView zoomScale="85" zoomScaleNormal="85" workbookViewId="0">
      <pane ySplit="2" topLeftCell="A17" activePane="bottomLeft" state="frozen"/>
      <selection sqref="A1:H1"/>
      <selection pane="bottomLeft" activeCell="D23" sqref="D23"/>
    </sheetView>
  </sheetViews>
  <sheetFormatPr baseColWidth="10" defaultColWidth="0" defaultRowHeight="14.5" zeroHeight="1" outlineLevelRow="1" x14ac:dyDescent="0.35"/>
  <cols>
    <col min="1" max="1" width="11.453125" customWidth="1"/>
    <col min="2" max="2" width="12.1796875" customWidth="1"/>
    <col min="3" max="3" width="44.81640625" bestFit="1" customWidth="1"/>
    <col min="4" max="5" width="11.453125" style="148" customWidth="1"/>
    <col min="6" max="6" width="16.1796875" style="148" bestFit="1" customWidth="1"/>
    <col min="7" max="7" width="13.81640625" style="148" customWidth="1"/>
    <col min="8" max="8" width="11.453125" customWidth="1"/>
    <col min="9" max="9" width="6.1796875" style="23" hidden="1" customWidth="1"/>
    <col min="10" max="10" width="0" hidden="1" customWidth="1"/>
    <col min="11" max="16384" width="11.453125" hidden="1"/>
  </cols>
  <sheetData>
    <row r="1" spans="1:8" ht="15.5" x14ac:dyDescent="0.35">
      <c r="A1" s="16" t="s">
        <v>1</v>
      </c>
      <c r="B1" s="186" t="s">
        <v>356</v>
      </c>
      <c r="C1" s="187"/>
      <c r="D1" s="187"/>
      <c r="E1" s="188"/>
      <c r="F1" s="51" t="s">
        <v>97</v>
      </c>
      <c r="G1" s="61" t="s">
        <v>24</v>
      </c>
      <c r="H1" s="63">
        <v>2009</v>
      </c>
    </row>
    <row r="2" spans="1:8" ht="16" thickBot="1" x14ac:dyDescent="0.4">
      <c r="A2" s="17" t="s">
        <v>4</v>
      </c>
      <c r="B2" s="198">
        <v>3</v>
      </c>
      <c r="C2" s="199"/>
      <c r="D2" s="199"/>
      <c r="E2" s="199"/>
      <c r="F2" s="200"/>
      <c r="G2" s="62" t="s">
        <v>3</v>
      </c>
      <c r="H2" s="64">
        <f>2022-H1</f>
        <v>13</v>
      </c>
    </row>
    <row r="3" spans="1:8" ht="15" outlineLevel="1" thickBot="1" x14ac:dyDescent="0.4">
      <c r="A3" s="189" t="s">
        <v>26</v>
      </c>
      <c r="B3" s="190"/>
      <c r="C3" s="190"/>
      <c r="D3" s="190"/>
      <c r="E3" s="191"/>
      <c r="F3" s="46" t="s">
        <v>27</v>
      </c>
      <c r="G3" s="47" t="s">
        <v>28</v>
      </c>
      <c r="H3" s="22" t="s">
        <v>234</v>
      </c>
    </row>
    <row r="4" spans="1:8" outlineLevel="1" x14ac:dyDescent="0.35">
      <c r="A4" s="192" t="s">
        <v>30</v>
      </c>
      <c r="B4" s="193"/>
      <c r="C4" s="193"/>
      <c r="D4" s="193"/>
      <c r="E4" s="194"/>
      <c r="F4" s="25">
        <v>10</v>
      </c>
      <c r="G4" s="55" t="s">
        <v>32</v>
      </c>
      <c r="H4" s="34">
        <f>F4</f>
        <v>10</v>
      </c>
    </row>
    <row r="5" spans="1:8" outlineLevel="1" x14ac:dyDescent="0.35">
      <c r="A5" s="195" t="s">
        <v>85</v>
      </c>
      <c r="B5" s="196"/>
      <c r="C5" s="196"/>
      <c r="D5" s="196"/>
      <c r="E5" s="197"/>
      <c r="F5" s="14">
        <v>10</v>
      </c>
      <c r="G5" s="56" t="s">
        <v>32</v>
      </c>
      <c r="H5" s="35">
        <f>F5</f>
        <v>10</v>
      </c>
    </row>
    <row r="6" spans="1:8" outlineLevel="1" x14ac:dyDescent="0.35">
      <c r="A6" s="195" t="s">
        <v>33</v>
      </c>
      <c r="B6" s="196"/>
      <c r="C6" s="196"/>
      <c r="D6" s="196"/>
      <c r="E6" s="197"/>
      <c r="F6" s="14">
        <v>20</v>
      </c>
      <c r="G6" s="56" t="s">
        <v>31</v>
      </c>
      <c r="H6" s="35">
        <f>IF(F6="",0,VLOOKUP(F6,Punktetabellen!A10:B15,2,1))</f>
        <v>10</v>
      </c>
    </row>
    <row r="7" spans="1:8" outlineLevel="1" x14ac:dyDescent="0.35">
      <c r="A7" s="195" t="s">
        <v>34</v>
      </c>
      <c r="B7" s="196"/>
      <c r="C7" s="196"/>
      <c r="D7" s="196"/>
      <c r="E7" s="197"/>
      <c r="F7" s="14">
        <v>0</v>
      </c>
      <c r="G7" s="56" t="s">
        <v>31</v>
      </c>
      <c r="H7" s="35">
        <f>IF(F7="",0,VLOOKUP(F7,Punktetabellen!A3:B6,2,0))</f>
        <v>5</v>
      </c>
    </row>
    <row r="8" spans="1:8" ht="15" outlineLevel="1" thickBot="1" x14ac:dyDescent="0.4">
      <c r="A8" s="204" t="s">
        <v>35</v>
      </c>
      <c r="B8" s="205"/>
      <c r="C8" s="205"/>
      <c r="D8" s="205"/>
      <c r="E8" s="206"/>
      <c r="F8" s="41">
        <v>0</v>
      </c>
      <c r="G8" s="57" t="s">
        <v>31</v>
      </c>
      <c r="H8" s="36">
        <f>IF(F8="",0,VLOOKUP(F8,Punktetabellen!A3:B6,2,0))</f>
        <v>5</v>
      </c>
    </row>
    <row r="9" spans="1:8" ht="15" thickBot="1" x14ac:dyDescent="0.4">
      <c r="A9" s="210" t="s">
        <v>36</v>
      </c>
      <c r="B9" s="211"/>
      <c r="C9" s="211"/>
      <c r="D9" s="211"/>
      <c r="E9" s="211"/>
      <c r="F9" s="211"/>
      <c r="G9" s="211"/>
      <c r="H9" s="48">
        <f>SUM(H4:H8)</f>
        <v>40</v>
      </c>
    </row>
    <row r="10" spans="1:8" ht="15" outlineLevel="1" thickBot="1" x14ac:dyDescent="0.4">
      <c r="A10" s="189" t="s">
        <v>26</v>
      </c>
      <c r="B10" s="190"/>
      <c r="C10" s="190"/>
      <c r="D10" s="190"/>
      <c r="E10" s="191"/>
      <c r="F10" s="46" t="s">
        <v>27</v>
      </c>
      <c r="G10" s="47" t="s">
        <v>28</v>
      </c>
      <c r="H10" s="22" t="s">
        <v>234</v>
      </c>
    </row>
    <row r="11" spans="1:8" outlineLevel="1" x14ac:dyDescent="0.35">
      <c r="A11" s="207" t="s">
        <v>37</v>
      </c>
      <c r="B11" s="208"/>
      <c r="C11" s="208"/>
      <c r="D11" s="208"/>
      <c r="E11" s="209"/>
      <c r="F11" s="26">
        <v>12</v>
      </c>
      <c r="G11" s="58" t="s">
        <v>31</v>
      </c>
      <c r="H11" s="37">
        <f>IF($F11="",0,VLOOKUP($F11,Pkte_Klimmzug[],$H$2,1))</f>
        <v>10</v>
      </c>
    </row>
    <row r="12" spans="1:8" outlineLevel="1" x14ac:dyDescent="0.35">
      <c r="A12" s="201" t="s">
        <v>38</v>
      </c>
      <c r="B12" s="202"/>
      <c r="C12" s="202"/>
      <c r="D12" s="202"/>
      <c r="E12" s="203"/>
      <c r="F12" s="27">
        <v>10</v>
      </c>
      <c r="G12" s="59" t="s">
        <v>31</v>
      </c>
      <c r="H12" s="38">
        <f>IF($F12="",0,VLOOKUP($F12,Pkte_Beinheben[],$H$2,1))</f>
        <v>10</v>
      </c>
    </row>
    <row r="13" spans="1:8" outlineLevel="1" x14ac:dyDescent="0.35">
      <c r="A13" s="201" t="s">
        <v>88</v>
      </c>
      <c r="B13" s="202"/>
      <c r="C13" s="202"/>
      <c r="D13" s="202"/>
      <c r="E13" s="203"/>
      <c r="F13" s="27">
        <v>100</v>
      </c>
      <c r="G13" s="59" t="s">
        <v>31</v>
      </c>
      <c r="H13" s="38">
        <f>IF($F13="",0,VLOOKUP($F13,Pkte_Flieger[],$H$2,1))</f>
        <v>10</v>
      </c>
    </row>
    <row r="14" spans="1:8" outlineLevel="1" x14ac:dyDescent="0.35">
      <c r="A14" s="201" t="s">
        <v>39</v>
      </c>
      <c r="B14" s="202"/>
      <c r="C14" s="202"/>
      <c r="D14" s="202"/>
      <c r="E14" s="203"/>
      <c r="F14" s="27">
        <v>25</v>
      </c>
      <c r="G14" s="59" t="s">
        <v>31</v>
      </c>
      <c r="H14" s="38">
        <f>IF($F14="",0,VLOOKUP($F14,Pkte_Rollenverbindung[],$H$2,1))</f>
        <v>10</v>
      </c>
    </row>
    <row r="15" spans="1:8" outlineLevel="1" x14ac:dyDescent="0.35">
      <c r="A15" s="201" t="s">
        <v>89</v>
      </c>
      <c r="B15" s="202"/>
      <c r="C15" s="202"/>
      <c r="D15" s="202"/>
      <c r="E15" s="203"/>
      <c r="F15" s="27">
        <v>38</v>
      </c>
      <c r="G15" s="59" t="s">
        <v>31</v>
      </c>
      <c r="H15" s="38">
        <f>IF($F15="",0,VLOOKUP($F15,Pkte_Prellsprung[],$H$2,1))</f>
        <v>9</v>
      </c>
    </row>
    <row r="16" spans="1:8" outlineLevel="1" x14ac:dyDescent="0.35">
      <c r="A16" s="201" t="s">
        <v>90</v>
      </c>
      <c r="B16" s="202"/>
      <c r="C16" s="202"/>
      <c r="D16" s="202"/>
      <c r="E16" s="203"/>
      <c r="F16" s="28">
        <v>30</v>
      </c>
      <c r="G16" s="59" t="s">
        <v>31</v>
      </c>
      <c r="H16" s="38">
        <f>IF($F16="",0,VLOOKUP($F16,Pkte_Handstand[],$H$2,1))</f>
        <v>10</v>
      </c>
    </row>
    <row r="17" spans="1:8" ht="15" outlineLevel="1" thickBot="1" x14ac:dyDescent="0.4">
      <c r="A17" s="112" t="s">
        <v>93</v>
      </c>
      <c r="B17" s="113"/>
      <c r="C17" s="114" t="s">
        <v>269</v>
      </c>
      <c r="D17" s="29">
        <v>9</v>
      </c>
      <c r="E17" s="115" t="s">
        <v>270</v>
      </c>
      <c r="F17" s="29">
        <v>6</v>
      </c>
      <c r="G17" s="60" t="s">
        <v>31</v>
      </c>
      <c r="H17" s="39">
        <f>IF($F17="",0,IF($F$1="weiblich",VLOOKUP((100*$D17+$F17),Pkte_Shuttle_W[],$H$2,1),VLOOKUP((100*$D17+$F17),Pkte_Shuttle_M[],$H$2,1)))</f>
        <v>10</v>
      </c>
    </row>
    <row r="18" spans="1:8" ht="15" thickBot="1" x14ac:dyDescent="0.4">
      <c r="A18" s="161" t="s">
        <v>40</v>
      </c>
      <c r="B18" s="162"/>
      <c r="C18" s="162"/>
      <c r="D18" s="162"/>
      <c r="E18" s="162"/>
      <c r="F18" s="162"/>
      <c r="G18" s="162"/>
      <c r="H18" s="48">
        <f>SUM(H11:H17)</f>
        <v>69</v>
      </c>
    </row>
    <row r="19" spans="1:8" ht="15" outlineLevel="1" thickBot="1" x14ac:dyDescent="0.4">
      <c r="A19" s="159" t="s">
        <v>26</v>
      </c>
      <c r="B19" s="160"/>
      <c r="C19" s="160"/>
      <c r="D19" s="85" t="s">
        <v>235</v>
      </c>
      <c r="E19" s="85" t="s">
        <v>238</v>
      </c>
      <c r="F19" s="85" t="s">
        <v>236</v>
      </c>
      <c r="G19" s="86" t="s">
        <v>28</v>
      </c>
      <c r="H19" s="49" t="s">
        <v>234</v>
      </c>
    </row>
    <row r="20" spans="1:8" outlineLevel="1" x14ac:dyDescent="0.35">
      <c r="A20" s="167" t="s">
        <v>148</v>
      </c>
      <c r="B20" s="168"/>
      <c r="C20" s="116" t="str">
        <f>Infos!A10</f>
        <v>Druckmessplatte</v>
      </c>
      <c r="D20" s="90">
        <f>IF(F1="männlich",VLOOKUP(H2,Standsprünge!A3:C15,3,0),VLOOKUP(H2,Standsprünge!A3:B15,2,0))+IF(C20="Druckmessplatte",0)</f>
        <v>15.1</v>
      </c>
      <c r="E20" s="90"/>
      <c r="F20" s="67">
        <v>16.274999999999999</v>
      </c>
      <c r="G20" s="91" t="s">
        <v>149</v>
      </c>
      <c r="H20" s="88">
        <f>IF(F20="",0,(F20-D20)*10)</f>
        <v>11.749999999999989</v>
      </c>
    </row>
    <row r="21" spans="1:8" outlineLevel="1" x14ac:dyDescent="0.35">
      <c r="A21" s="165" t="str">
        <f>IF(H2&gt;15,"entfällt","TBN")</f>
        <v>TBN</v>
      </c>
      <c r="B21" s="166"/>
      <c r="C21" s="77" t="s">
        <v>196</v>
      </c>
      <c r="D21" s="78">
        <v>10</v>
      </c>
      <c r="E21" s="78">
        <v>6</v>
      </c>
      <c r="F21" s="42">
        <v>0</v>
      </c>
      <c r="G21" s="71" t="str">
        <f>IF(H2&gt;16,"entfällt","Wert - Abzug")</f>
        <v>Wert - Abzug</v>
      </c>
      <c r="H21" s="66">
        <f>IF(A21="entfällt",0,IF(F21="",0,D21-F21))</f>
        <v>10</v>
      </c>
    </row>
    <row r="22" spans="1:8" outlineLevel="1" x14ac:dyDescent="0.35">
      <c r="A22" s="165" t="str">
        <f>IF(H2&gt;15,"entfällt","TBN")</f>
        <v>TBN</v>
      </c>
      <c r="B22" s="166"/>
      <c r="C22" s="77" t="s">
        <v>178</v>
      </c>
      <c r="D22" s="78">
        <v>9</v>
      </c>
      <c r="E22" s="78">
        <v>6</v>
      </c>
      <c r="F22" s="42">
        <v>0</v>
      </c>
      <c r="G22" s="71" t="str">
        <f>IF(H2&gt;16,"entfällt","Wert - Abzug")</f>
        <v>Wert - Abzug</v>
      </c>
      <c r="H22" s="66">
        <f t="shared" ref="H22:H28" si="0">IF(A22="entfällt",0,IF(F22="",0,D22-F22))</f>
        <v>9</v>
      </c>
    </row>
    <row r="23" spans="1:8" outlineLevel="1" x14ac:dyDescent="0.35">
      <c r="A23" s="165" t="str">
        <f>IF(H2&gt;11,"entfällt","TBN")</f>
        <v>entfällt</v>
      </c>
      <c r="B23" s="166"/>
      <c r="C23" s="77"/>
      <c r="D23" s="78" t="str">
        <f ca="1">IF(C23="","",VLOOKUP(C23,INDIRECT($C$57),2,0))</f>
        <v/>
      </c>
      <c r="E23" s="78" t="str">
        <f ca="1">IF(C23="","",VLOOKUP(C23,INDIRECT($C$57),3,0))</f>
        <v/>
      </c>
      <c r="F23" s="42"/>
      <c r="G23" s="71" t="str">
        <f>IF(H2&gt;16,"entfällt","Wert - Abzug")</f>
        <v>Wert - Abzug</v>
      </c>
      <c r="H23" s="66">
        <f t="shared" si="0"/>
        <v>0</v>
      </c>
    </row>
    <row r="24" spans="1:8" outlineLevel="1" x14ac:dyDescent="0.35">
      <c r="A24" s="110" t="s">
        <v>147</v>
      </c>
      <c r="B24" s="111"/>
      <c r="C24" s="77" t="s">
        <v>181</v>
      </c>
      <c r="D24" s="78">
        <v>12</v>
      </c>
      <c r="E24" s="78">
        <v>6</v>
      </c>
      <c r="F24" s="42">
        <v>2</v>
      </c>
      <c r="G24" s="71" t="s">
        <v>146</v>
      </c>
      <c r="H24" s="66">
        <f t="shared" si="0"/>
        <v>10</v>
      </c>
    </row>
    <row r="25" spans="1:8" outlineLevel="1" x14ac:dyDescent="0.35">
      <c r="A25" s="110" t="s">
        <v>147</v>
      </c>
      <c r="B25" s="111"/>
      <c r="C25" s="77" t="s">
        <v>179</v>
      </c>
      <c r="D25" s="78">
        <v>11</v>
      </c>
      <c r="E25" s="78">
        <v>6</v>
      </c>
      <c r="F25" s="42">
        <v>2</v>
      </c>
      <c r="G25" s="71" t="s">
        <v>146</v>
      </c>
      <c r="H25" s="66">
        <f t="shared" si="0"/>
        <v>9</v>
      </c>
    </row>
    <row r="26" spans="1:8" outlineLevel="1" x14ac:dyDescent="0.35">
      <c r="A26" s="110" t="s">
        <v>147</v>
      </c>
      <c r="B26" s="111"/>
      <c r="C26" s="77" t="s">
        <v>180</v>
      </c>
      <c r="D26" s="78">
        <v>13</v>
      </c>
      <c r="E26" s="78">
        <v>6</v>
      </c>
      <c r="F26" s="42">
        <v>2</v>
      </c>
      <c r="G26" s="71" t="s">
        <v>146</v>
      </c>
      <c r="H26" s="66">
        <f t="shared" si="0"/>
        <v>11</v>
      </c>
    </row>
    <row r="27" spans="1:8" outlineLevel="1" x14ac:dyDescent="0.35">
      <c r="A27" s="110" t="str">
        <f>IF(H2&gt;11,"TN","entfällt")</f>
        <v>TN</v>
      </c>
      <c r="B27" s="111"/>
      <c r="C27" s="77" t="s">
        <v>62</v>
      </c>
      <c r="D27" s="78">
        <v>15</v>
      </c>
      <c r="E27" s="78">
        <v>6</v>
      </c>
      <c r="F27" s="42">
        <v>4</v>
      </c>
      <c r="G27" s="71" t="str">
        <f>IF(H2&gt;12,"Wert - Abzug","entfällt")</f>
        <v>Wert - Abzug</v>
      </c>
      <c r="H27" s="66">
        <f t="shared" si="0"/>
        <v>11</v>
      </c>
    </row>
    <row r="28" spans="1:8" outlineLevel="1" x14ac:dyDescent="0.35">
      <c r="A28" s="110" t="str">
        <f>IF(H2&gt;15,"TN","entfällt")</f>
        <v>entfällt</v>
      </c>
      <c r="B28" s="111"/>
      <c r="C28" s="77"/>
      <c r="D28" s="78"/>
      <c r="E28" s="78"/>
      <c r="F28" s="42"/>
      <c r="G28" s="71" t="str">
        <f>IF(H2&gt;16,"Wert - Abzug","entfällt")</f>
        <v>entfällt</v>
      </c>
      <c r="H28" s="66">
        <f t="shared" si="0"/>
        <v>0</v>
      </c>
    </row>
    <row r="29" spans="1:8" outlineLevel="1" x14ac:dyDescent="0.35">
      <c r="A29" s="110" t="str">
        <f>IF(H2&gt;15,"TN","entfällt")</f>
        <v>entfällt</v>
      </c>
      <c r="B29" s="111"/>
      <c r="C29" s="77"/>
      <c r="D29" s="78"/>
      <c r="E29" s="78"/>
      <c r="F29" s="42"/>
      <c r="G29" s="71" t="str">
        <f>IF(H2&gt;16,"Wert - Abzug","entfällt")</f>
        <v>entfällt</v>
      </c>
      <c r="H29" s="66">
        <f>IF(A29="entfällt",0,IF(F29="",0,D29-F29))</f>
        <v>0</v>
      </c>
    </row>
    <row r="30" spans="1:8" outlineLevel="1" x14ac:dyDescent="0.35">
      <c r="A30" s="165" t="str">
        <f>IF($H$2&gt;10,"Verbindung Sprung 1","entfällt")</f>
        <v>Verbindung Sprung 1</v>
      </c>
      <c r="B30" s="166"/>
      <c r="C30" s="40" t="str">
        <f ca="1">IF(A30&lt;&gt;"entfällt",VLOOKUP(1,INDIRECT($C$68),2,0),"")</f>
        <v>40/</v>
      </c>
      <c r="D30" s="40">
        <f ca="1">IF(A30&lt;&gt;"entfällt",VLOOKUP(1,INDIRECT($C$68),3,0),"")</f>
        <v>6</v>
      </c>
      <c r="E30" s="40">
        <f ca="1">IF(A30&lt;&gt;"entfällt",VLOOKUP(1,INDIRECT($C$68),4,0),"")</f>
        <v>3</v>
      </c>
      <c r="F30" s="42">
        <v>2</v>
      </c>
      <c r="G30" s="71" t="str">
        <f>IF(H2&gt;12,"Wert - Abzug","entfällt")</f>
        <v>Wert - Abzug</v>
      </c>
      <c r="H30" s="66"/>
    </row>
    <row r="31" spans="1:8" outlineLevel="1" x14ac:dyDescent="0.35">
      <c r="A31" s="165" t="str">
        <f>IF($H$2&gt;10,"Verbindung Sprung 2","entfällt")</f>
        <v>Verbindung Sprung 2</v>
      </c>
      <c r="B31" s="166"/>
      <c r="C31" s="40" t="str">
        <f ca="1">IF(A31&lt;&gt;"entfällt",VLOOKUP(2,INDIRECT($C$68),2,0),"")</f>
        <v>41/</v>
      </c>
      <c r="D31" s="40">
        <f ca="1">IF(A31&lt;&gt;"entfällt",VLOOKUP(2,INDIRECT($C$68),3,0),"")</f>
        <v>6</v>
      </c>
      <c r="E31" s="40">
        <f ca="1">IF(A31&lt;&gt;"entfällt",VLOOKUP(2,INDIRECT($C$68),4,0),"")</f>
        <v>3</v>
      </c>
      <c r="F31" s="42">
        <v>2</v>
      </c>
      <c r="G31" s="71" t="str">
        <f>IF(H2&gt;12,"Wert - Abzug","entfällt")</f>
        <v>Wert - Abzug</v>
      </c>
      <c r="H31" s="66"/>
    </row>
    <row r="32" spans="1:8" outlineLevel="1" x14ac:dyDescent="0.35">
      <c r="A32" s="165" t="str">
        <f>IF($H$2&gt;10,"Verbindung Sprung 3","entfällt")</f>
        <v>Verbindung Sprung 3</v>
      </c>
      <c r="B32" s="166"/>
      <c r="C32" s="40" t="str">
        <f ca="1">IF(A32&lt;&gt;"entfällt",VLOOKUP(3,INDIRECT($C$68),2,0),"")</f>
        <v>42/</v>
      </c>
      <c r="D32" s="40">
        <f ca="1">IF(A32&lt;&gt;"entfällt",VLOOKUP(3,INDIRECT($C$68),3,0),"")</f>
        <v>7</v>
      </c>
      <c r="E32" s="40">
        <f ca="1">IF(A32&lt;&gt;"entfällt",VLOOKUP(3,INDIRECT($C$68),4,0),"")</f>
        <v>3</v>
      </c>
      <c r="F32" s="42">
        <v>2</v>
      </c>
      <c r="G32" s="71" t="str">
        <f>IF(H2&gt;12,"Wert - Abzug","entfällt")</f>
        <v>Wert - Abzug</v>
      </c>
      <c r="H32" s="66"/>
    </row>
    <row r="33" spans="1:8" outlineLevel="1" x14ac:dyDescent="0.35">
      <c r="A33" s="165" t="str">
        <f>IF($H$2&gt;10,"Verbindung Sprung 4","entfällt")</f>
        <v>Verbindung Sprung 4</v>
      </c>
      <c r="B33" s="166"/>
      <c r="C33" s="40" t="str">
        <f ca="1">IF(A33&lt;&gt;"entfällt",VLOOKUP(4,INDIRECT($C$68),2,0),"")</f>
        <v>40°</v>
      </c>
      <c r="D33" s="40">
        <f ca="1">IF(A33&lt;&gt;"entfällt",VLOOKUP(4,INDIRECT($C$68),3,0),"")</f>
        <v>5</v>
      </c>
      <c r="E33" s="40">
        <f ca="1">IF(A33&lt;&gt;"entfällt",VLOOKUP(4,INDIRECT($C$68),4,0),"")</f>
        <v>3</v>
      </c>
      <c r="F33" s="42">
        <v>1</v>
      </c>
      <c r="G33" s="71" t="str">
        <f>IF(H2&gt;12,"Wert - Abzug","entfällt")</f>
        <v>Wert - Abzug</v>
      </c>
      <c r="H33" s="66"/>
    </row>
    <row r="34" spans="1:8" outlineLevel="1" x14ac:dyDescent="0.35">
      <c r="A34" s="165" t="str">
        <f>IF($H$2&gt;10,"Verbindung Sprung 5","entfällt")</f>
        <v>Verbindung Sprung 5</v>
      </c>
      <c r="B34" s="166"/>
      <c r="C34" s="40" t="str">
        <f ca="1">IF(A34&lt;&gt;"entfällt",VLOOKUP(5,INDIRECT($C$68),2,0),"")</f>
        <v>41°</v>
      </c>
      <c r="D34" s="40">
        <f ca="1">IF(A34&lt;&gt;"entfällt",VLOOKUP(5,INDIRECT($C$68),3,0),"")</f>
        <v>6</v>
      </c>
      <c r="E34" s="40">
        <f ca="1">IF(A34&lt;&gt;"entfällt",VLOOKUP(5,INDIRECT($C$68),4,0),"")</f>
        <v>3</v>
      </c>
      <c r="F34" s="42">
        <v>2</v>
      </c>
      <c r="G34" s="71" t="str">
        <f>IF(H2&gt;12,"Wert - Abzug","entfällt")</f>
        <v>Wert - Abzug</v>
      </c>
      <c r="H34" s="66"/>
    </row>
    <row r="35" spans="1:8" ht="15" outlineLevel="1" thickBot="1" x14ac:dyDescent="0.4">
      <c r="A35" s="171" t="str">
        <f>IF($H$2&gt;10,"Verbindung Sprung 6","entfällt")</f>
        <v>Verbindung Sprung 6</v>
      </c>
      <c r="B35" s="172"/>
      <c r="C35" s="68" t="str">
        <f ca="1">IF(A35&lt;&gt;"entfällt",VLOOKUP(6,INDIRECT($C$68),2,0),"")</f>
        <v>800°</v>
      </c>
      <c r="D35" s="68">
        <f ca="1">IF(A35&lt;&gt;"entfällt",VLOOKUP(6,INDIRECT($C$68),3,0),"")</f>
        <v>10</v>
      </c>
      <c r="E35" s="68">
        <f ca="1">IF(A35&lt;&gt;"entfällt",VLOOKUP(6,INDIRECT($C$68),4,0),"")</f>
        <v>3</v>
      </c>
      <c r="F35" s="69">
        <v>2</v>
      </c>
      <c r="G35" s="72" t="str">
        <f>IF(H2&gt;12,"Wert - Abzug","entfällt")</f>
        <v>Wert - Abzug</v>
      </c>
      <c r="H35" s="70">
        <f>30-F30-F31-F32-F33-F34-F35</f>
        <v>19</v>
      </c>
    </row>
    <row r="36" spans="1:8" ht="15" thickBot="1" x14ac:dyDescent="0.4">
      <c r="A36" s="173" t="s">
        <v>41</v>
      </c>
      <c r="B36" s="174"/>
      <c r="C36" s="174"/>
      <c r="D36" s="174"/>
      <c r="E36" s="174"/>
      <c r="F36" s="174"/>
      <c r="G36" s="175"/>
      <c r="H36" s="89">
        <f>SUM(H20:H35)</f>
        <v>90.749999999999986</v>
      </c>
    </row>
    <row r="37" spans="1:8" ht="15" outlineLevel="1" thickBot="1" x14ac:dyDescent="0.4">
      <c r="A37" s="181" t="s">
        <v>99</v>
      </c>
      <c r="B37" s="182"/>
      <c r="C37" s="182"/>
      <c r="D37" s="183"/>
      <c r="E37" s="85" t="s">
        <v>27</v>
      </c>
      <c r="F37" s="85" t="s">
        <v>237</v>
      </c>
      <c r="G37" s="86" t="s">
        <v>28</v>
      </c>
      <c r="H37" s="49" t="s">
        <v>234</v>
      </c>
    </row>
    <row r="38" spans="1:8" outlineLevel="1" x14ac:dyDescent="0.35">
      <c r="A38" s="179" t="str">
        <f ca="1">VLOOKUP(1,INDIRECT($C$65),2,0)</f>
        <v>Salto vorwärts mit Anlauf</v>
      </c>
      <c r="B38" s="180"/>
      <c r="C38" s="180"/>
      <c r="D38" s="180"/>
      <c r="E38" s="92">
        <f ca="1">VLOOKUP(1,INDIRECT($C$65),3,0)</f>
        <v>3</v>
      </c>
      <c r="F38" s="79">
        <v>0.5</v>
      </c>
      <c r="G38" s="80" t="s">
        <v>146</v>
      </c>
      <c r="H38" s="84">
        <f ca="1">IF(E38=" ","",IF(F38="",0,E38-F38))</f>
        <v>2.5</v>
      </c>
    </row>
    <row r="39" spans="1:8" outlineLevel="1" x14ac:dyDescent="0.35">
      <c r="A39" s="163" t="str">
        <f ca="1">VLOOKUP(2,INDIRECT($C$65),2,0)</f>
        <v>Handstand, 1/1 Drehung, Abrollen</v>
      </c>
      <c r="B39" s="164"/>
      <c r="C39" s="164"/>
      <c r="D39" s="164"/>
      <c r="E39" s="87">
        <f ca="1">VLOOKUP(2,INDIRECT($C$65),3,0)</f>
        <v>3</v>
      </c>
      <c r="F39" s="43">
        <v>0</v>
      </c>
      <c r="G39" s="81" t="s">
        <v>146</v>
      </c>
      <c r="H39" s="84">
        <f t="shared" ref="H39:H49" ca="1" si="1">IF(E39=" ","",IF(F39="",0,E39-F39))</f>
        <v>3</v>
      </c>
    </row>
    <row r="40" spans="1:8" outlineLevel="1" x14ac:dyDescent="0.35">
      <c r="A40" s="163" t="str">
        <f ca="1">VLOOKUP(3,INDIRECT($C$65),2,0)</f>
        <v>Strecksprung 1/2 Drehung</v>
      </c>
      <c r="B40" s="164"/>
      <c r="C40" s="164"/>
      <c r="D40" s="164"/>
      <c r="E40" s="87">
        <f ca="1">VLOOKUP(3,INDIRECT($C$65),3,0)</f>
        <v>1.5</v>
      </c>
      <c r="F40" s="43">
        <v>0</v>
      </c>
      <c r="G40" s="81" t="s">
        <v>146</v>
      </c>
      <c r="H40" s="84">
        <f t="shared" ca="1" si="1"/>
        <v>1.5</v>
      </c>
    </row>
    <row r="41" spans="1:8" outlineLevel="1" x14ac:dyDescent="0.35">
      <c r="A41" s="163" t="str">
        <f ca="1">VLOOKUP(4,INDIRECT($C$65),2,0)</f>
        <v>Vorspreizen, Handstandhüpfer, Abrollen Grätschsitz</v>
      </c>
      <c r="B41" s="164"/>
      <c r="C41" s="164"/>
      <c r="D41" s="164"/>
      <c r="E41" s="87">
        <f ca="1">VLOOKUP(4,INDIRECT($C$65),3,0)</f>
        <v>1.5</v>
      </c>
      <c r="F41" s="43">
        <v>0</v>
      </c>
      <c r="G41" s="81" t="s">
        <v>146</v>
      </c>
      <c r="H41" s="84">
        <f t="shared" ca="1" si="1"/>
        <v>1.5</v>
      </c>
    </row>
    <row r="42" spans="1:8" outlineLevel="1" x14ac:dyDescent="0.35">
      <c r="A42" s="163" t="str">
        <f ca="1">VLOOKUP(5,INDIRECT($C$65),2,0)</f>
        <v>Briefmarke, Rückgrätschen --&gt; Bauchlage</v>
      </c>
      <c r="B42" s="164"/>
      <c r="C42" s="164"/>
      <c r="D42" s="164"/>
      <c r="E42" s="87">
        <f ca="1">VLOOKUP(5,INDIRECT($C$65),3,0)</f>
        <v>3</v>
      </c>
      <c r="F42" s="43">
        <v>0</v>
      </c>
      <c r="G42" s="81" t="s">
        <v>146</v>
      </c>
      <c r="H42" s="84">
        <f t="shared" ca="1" si="1"/>
        <v>3</v>
      </c>
    </row>
    <row r="43" spans="1:8" outlineLevel="1" x14ac:dyDescent="0.35">
      <c r="A43" s="163" t="str">
        <f ca="1">VLOOKUP(6,INDIRECT($C$65),2,0)</f>
        <v>Kniestand, Abdrücken gebückt --&gt; Handstand, abrollen</v>
      </c>
      <c r="B43" s="164"/>
      <c r="C43" s="164"/>
      <c r="D43" s="164"/>
      <c r="E43" s="87">
        <f ca="1">VLOOKUP(6,INDIRECT($C$65),3,0)</f>
        <v>3</v>
      </c>
      <c r="F43" s="43">
        <v>0</v>
      </c>
      <c r="G43" s="81" t="s">
        <v>146</v>
      </c>
      <c r="H43" s="84">
        <f t="shared" ca="1" si="1"/>
        <v>3</v>
      </c>
    </row>
    <row r="44" spans="1:8" outlineLevel="1" x14ac:dyDescent="0.35">
      <c r="A44" s="163" t="str">
        <f ca="1">VLOOKUP(7,INDIRECT($C$65),2,0)</f>
        <v>Vorspreizen, Standwaage --&gt; abrollen, einbeinig rechts auf</v>
      </c>
      <c r="B44" s="164"/>
      <c r="C44" s="164"/>
      <c r="D44" s="164"/>
      <c r="E44" s="87">
        <f ca="1">VLOOKUP(7,INDIRECT($C$65),3,0)</f>
        <v>3.5</v>
      </c>
      <c r="F44" s="43">
        <v>1.5</v>
      </c>
      <c r="G44" s="81" t="s">
        <v>146</v>
      </c>
      <c r="H44" s="84">
        <f t="shared" ca="1" si="1"/>
        <v>2</v>
      </c>
    </row>
    <row r="45" spans="1:8" outlineLevel="1" x14ac:dyDescent="0.35">
      <c r="A45" s="163" t="str">
        <f ca="1">VLOOKUP(8,INDIRECT($C$65),2,0)</f>
        <v>Vorspreizen, Standwaage --&gt; abrollen, einbeinig links auf</v>
      </c>
      <c r="B45" s="164"/>
      <c r="C45" s="164"/>
      <c r="D45" s="164"/>
      <c r="E45" s="87">
        <f ca="1">VLOOKUP(8,INDIRECT($C$65),3,0)</f>
        <v>3.5</v>
      </c>
      <c r="F45" s="43">
        <v>2</v>
      </c>
      <c r="G45" s="81" t="s">
        <v>146</v>
      </c>
      <c r="H45" s="84">
        <f t="shared" ca="1" si="1"/>
        <v>1.5</v>
      </c>
    </row>
    <row r="46" spans="1:8" outlineLevel="1" x14ac:dyDescent="0.35">
      <c r="A46" s="163" t="str">
        <f ca="1">VLOOKUP(9,INDIRECT($C$65),2,0)</f>
        <v>Rolle rückwärts durch Handstand</v>
      </c>
      <c r="B46" s="164"/>
      <c r="C46" s="164"/>
      <c r="D46" s="164"/>
      <c r="E46" s="87">
        <f ca="1">VLOOKUP(9,INDIRECT($C$65),3,0)</f>
        <v>3</v>
      </c>
      <c r="F46" s="43">
        <v>1.5</v>
      </c>
      <c r="G46" s="81" t="str">
        <f>IF(H2&gt;16,"","Wert - Abzug")</f>
        <v>Wert - Abzug</v>
      </c>
      <c r="H46" s="84">
        <f t="shared" ca="1" si="1"/>
        <v>1.5</v>
      </c>
    </row>
    <row r="47" spans="1:8" outlineLevel="1" x14ac:dyDescent="0.35">
      <c r="A47" s="163" t="str">
        <f ca="1">VLOOKUP(10,INDIRECT($C$65),2,0)</f>
        <v>Strecksprung 1/2 Drehung</v>
      </c>
      <c r="B47" s="164"/>
      <c r="C47" s="164"/>
      <c r="D47" s="164"/>
      <c r="E47" s="87">
        <f ca="1">VLOOKUP(10,INDIRECT($C$65),3,0)</f>
        <v>1</v>
      </c>
      <c r="F47" s="43">
        <v>0</v>
      </c>
      <c r="G47" s="81" t="str">
        <f>IF(H2&gt;16,"","Wert - Abzug")</f>
        <v>Wert - Abzug</v>
      </c>
      <c r="H47" s="84">
        <f t="shared" ca="1" si="1"/>
        <v>1</v>
      </c>
    </row>
    <row r="48" spans="1:8" outlineLevel="1" x14ac:dyDescent="0.35">
      <c r="A48" s="163" t="str">
        <f ca="1">VLOOKUP(11,INDIRECT($C$65),2,0)</f>
        <v>Sprungrolle mit Anlauf</v>
      </c>
      <c r="B48" s="164"/>
      <c r="C48" s="164"/>
      <c r="D48" s="164"/>
      <c r="E48" s="87">
        <f ca="1">VLOOKUP(11,INDIRECT($C$65),3,0)</f>
        <v>2</v>
      </c>
      <c r="F48" s="43">
        <v>0</v>
      </c>
      <c r="G48" s="81" t="str">
        <f>IF(H2&gt;13,"","Wert - Abzug")</f>
        <v>Wert - Abzug</v>
      </c>
      <c r="H48" s="84">
        <f t="shared" ca="1" si="1"/>
        <v>2</v>
      </c>
    </row>
    <row r="49" spans="1:8" ht="15" outlineLevel="1" thickBot="1" x14ac:dyDescent="0.4">
      <c r="A49" s="184" t="str">
        <f ca="1">VLOOKUP(12,INDIRECT($C$65),2,0)</f>
        <v>Strecksprung 1/1 Drehung</v>
      </c>
      <c r="B49" s="185"/>
      <c r="C49" s="185"/>
      <c r="D49" s="185"/>
      <c r="E49" s="93">
        <f ca="1">VLOOKUP(12,INDIRECT($C$65),3,0)</f>
        <v>2</v>
      </c>
      <c r="F49" s="82">
        <v>0.5</v>
      </c>
      <c r="G49" s="83" t="str">
        <f>IF(OR(H2=9,H2=12,H2=13),"Wert - Abzug","")</f>
        <v>Wert - Abzug</v>
      </c>
      <c r="H49" s="84">
        <f t="shared" ca="1" si="1"/>
        <v>1.5</v>
      </c>
    </row>
    <row r="50" spans="1:8" ht="15" thickBot="1" x14ac:dyDescent="0.4">
      <c r="A50" s="176" t="s">
        <v>98</v>
      </c>
      <c r="B50" s="177"/>
      <c r="C50" s="177"/>
      <c r="D50" s="177"/>
      <c r="E50" s="177"/>
      <c r="F50" s="177"/>
      <c r="G50" s="178"/>
      <c r="H50" s="44">
        <f ca="1">SUM(H38:H49)</f>
        <v>24</v>
      </c>
    </row>
    <row r="51" spans="1:8" ht="16" thickBot="1" x14ac:dyDescent="0.4">
      <c r="A51" s="169" t="s">
        <v>42</v>
      </c>
      <c r="B51" s="170"/>
      <c r="C51" s="170"/>
      <c r="D51" s="170"/>
      <c r="E51" s="170"/>
      <c r="F51" s="170"/>
      <c r="G51" s="170"/>
      <c r="H51" s="94">
        <f ca="1">SUM(H9,H18,H36,H50)</f>
        <v>223.75</v>
      </c>
    </row>
    <row r="52" spans="1:8" s="23" customFormat="1" x14ac:dyDescent="0.35">
      <c r="D52" s="50"/>
      <c r="E52" s="50"/>
      <c r="F52" s="50"/>
      <c r="G52" s="50"/>
    </row>
    <row r="53" spans="1:8" s="23" customFormat="1" hidden="1" x14ac:dyDescent="0.35">
      <c r="C53" s="24"/>
      <c r="D53" s="50"/>
      <c r="E53" s="50"/>
      <c r="F53" s="50"/>
      <c r="G53" s="50"/>
    </row>
    <row r="54" spans="1:8" s="23" customFormat="1" hidden="1" x14ac:dyDescent="0.35">
      <c r="B54" s="23" t="s">
        <v>249</v>
      </c>
      <c r="C54" s="23" t="str">
        <f>IF(H2&lt;13,"beide",F1)</f>
        <v>weiblich</v>
      </c>
      <c r="D54" s="50"/>
      <c r="E54" s="50"/>
      <c r="F54" s="50"/>
      <c r="G54" s="50"/>
    </row>
    <row r="55" spans="1:8" s="23" customFormat="1" hidden="1" x14ac:dyDescent="0.35">
      <c r="B55" s="23" t="s">
        <v>3</v>
      </c>
      <c r="C55" s="23" t="str">
        <f>IF(OR(H2=8,H2=11),H2,IF(H2&lt;11,"9_10",IF(H2&lt;14,"12_13",IF(H2&lt;16,"14_15",IF(H2&lt;18,"16_17",18)))))</f>
        <v>12_13</v>
      </c>
      <c r="D55" s="50"/>
      <c r="E55" s="50"/>
      <c r="F55" s="50"/>
      <c r="G55" s="50"/>
    </row>
    <row r="56" spans="1:8" s="23" customFormat="1" hidden="1" x14ac:dyDescent="0.35">
      <c r="D56" s="50"/>
      <c r="E56" s="50"/>
      <c r="F56" s="50"/>
      <c r="G56" s="50"/>
    </row>
    <row r="57" spans="1:8" s="23" customFormat="1" hidden="1" x14ac:dyDescent="0.35">
      <c r="B57" s="23" t="s">
        <v>251</v>
      </c>
      <c r="C57" s="23" t="str">
        <f>"TBN_"&amp;C54&amp;"_"&amp;C55</f>
        <v>TBN_weiblich_12_13</v>
      </c>
      <c r="D57" s="50"/>
      <c r="E57" s="50"/>
      <c r="F57" s="50"/>
      <c r="G57" s="50"/>
    </row>
    <row r="58" spans="1:8" s="23" customFormat="1" hidden="1" x14ac:dyDescent="0.35">
      <c r="C58" s="23" t="str">
        <f>C57&amp;"[Beschreibung]"</f>
        <v>TBN_weiblich_12_13[Beschreibung]</v>
      </c>
      <c r="D58" s="50"/>
      <c r="E58" s="50"/>
      <c r="F58" s="50"/>
      <c r="G58" s="50"/>
    </row>
    <row r="59" spans="1:8" s="23" customFormat="1" hidden="1" x14ac:dyDescent="0.35">
      <c r="D59" s="50"/>
      <c r="E59" s="50"/>
      <c r="F59" s="50"/>
      <c r="G59" s="50"/>
    </row>
    <row r="60" spans="1:8" s="23" customFormat="1" hidden="1" x14ac:dyDescent="0.35">
      <c r="B60" s="23" t="s">
        <v>147</v>
      </c>
      <c r="C60" s="23" t="str">
        <f>"TN_"&amp;C54&amp;"_"&amp;C55</f>
        <v>TN_weiblich_12_13</v>
      </c>
      <c r="D60" s="50"/>
      <c r="E60" s="50"/>
      <c r="F60" s="50"/>
      <c r="G60" s="50"/>
    </row>
    <row r="61" spans="1:8" s="23" customFormat="1" hidden="1" x14ac:dyDescent="0.35">
      <c r="C61" s="23" t="str">
        <f>C60&amp;"[Beschreibung]"</f>
        <v>TN_weiblich_12_13[Beschreibung]</v>
      </c>
      <c r="D61" s="50"/>
      <c r="E61" s="50"/>
      <c r="F61" s="50"/>
      <c r="G61" s="50"/>
    </row>
    <row r="62" spans="1:8" s="23" customFormat="1" hidden="1" x14ac:dyDescent="0.35">
      <c r="D62" s="50"/>
      <c r="E62" s="50"/>
      <c r="F62" s="50"/>
      <c r="G62" s="50"/>
    </row>
    <row r="63" spans="1:8" s="23" customFormat="1" hidden="1" x14ac:dyDescent="0.35">
      <c r="B63" s="23" t="s">
        <v>17</v>
      </c>
      <c r="C63" s="23" t="str">
        <f>"TV_"&amp;F1&amp;"_"&amp;C55</f>
        <v>TV_weiblich_12_13</v>
      </c>
      <c r="D63" s="50"/>
      <c r="E63" s="50"/>
      <c r="F63" s="50"/>
      <c r="G63" s="50"/>
    </row>
    <row r="64" spans="1:8" s="23" customFormat="1" hidden="1" x14ac:dyDescent="0.35">
      <c r="D64" s="50"/>
      <c r="E64" s="50"/>
      <c r="F64" s="50"/>
      <c r="G64" s="50"/>
    </row>
    <row r="65" spans="2:7" s="23" customFormat="1" hidden="1" x14ac:dyDescent="0.35">
      <c r="B65" s="23" t="s">
        <v>252</v>
      </c>
      <c r="C65" s="23" t="str">
        <f>"BKÜ"&amp;IF(H2=9,"_9",IF(H2&lt;12,"_10_11",IF(H2&lt;14,"_12_13",IF(H2&lt;17,"_14_16","_17"))))</f>
        <v>BKÜ_12_13</v>
      </c>
      <c r="D65" s="50"/>
      <c r="E65" s="50"/>
      <c r="F65" s="50"/>
      <c r="G65" s="50"/>
    </row>
    <row r="66" spans="2:7" s="23" customFormat="1" hidden="1" x14ac:dyDescent="0.35">
      <c r="D66" s="50"/>
      <c r="E66" s="50"/>
      <c r="F66" s="50"/>
      <c r="G66" s="50"/>
    </row>
    <row r="67" spans="2:7" s="23" customFormat="1" hidden="1" x14ac:dyDescent="0.35">
      <c r="B67" s="23" t="s">
        <v>250</v>
      </c>
      <c r="C67" s="23" t="str">
        <f>IF(H2&lt;17,"beide",F1)</f>
        <v>beide</v>
      </c>
      <c r="D67" s="50"/>
      <c r="E67" s="50"/>
      <c r="F67" s="50"/>
      <c r="G67" s="50"/>
    </row>
    <row r="68" spans="2:7" s="23" customFormat="1" hidden="1" x14ac:dyDescent="0.35">
      <c r="B68" s="23" t="s">
        <v>17</v>
      </c>
      <c r="C68" s="23" t="str">
        <f>"TV_"&amp;C67&amp;"_"&amp;C55</f>
        <v>TV_beide_12_13</v>
      </c>
      <c r="D68" s="50"/>
      <c r="E68" s="50"/>
      <c r="F68" s="50"/>
      <c r="G68" s="50"/>
    </row>
    <row r="69" spans="2:7" x14ac:dyDescent="0.35"/>
    <row r="70" spans="2:7" x14ac:dyDescent="0.35"/>
  </sheetData>
  <sheetProtection algorithmName="SHA-512" hashValue="34NlXshJ1HH0keLJ91n0I/3h4osyuXwH76BfyfgnlvFO6myrpwUY5vJENGPTJt9ecC3cZ4r7xcv1SwJcbhKctw==" saltValue="FBaSdmUuqi8oemwqK6tyiw==" spinCount="100000" sheet="1" objects="1" scenarios="1" selectLockedCells="1"/>
  <protectedRanges>
    <protectedRange sqref="H1:H2 F1:F2 B1:B2" name="Athletendaten"/>
    <protectedRange sqref="F38:F49 C20:F35 D69:E440 C69:C441 F4:F8 C38:E68 C11:E16 F11:F17" name="Werte und Varianten"/>
    <protectedRange algorithmName="SHA-512" hashValue="EtPG7jm6pk6JVG08ToKZL4Sto4PS6TOUsygvFmj6DTfcGnX6DwKdfjTEg/2X1Hwnu/CwfNhBUSnXKs/oLqcupQ==" saltValue="sPse4fdTsI5OFESYvRIl8Q==" spinCount="100000" sqref="H4:H8 H38:H49 H20:H35 H11:H17" name="Punktzahlen"/>
  </protectedRanges>
  <mergeCells count="44">
    <mergeCell ref="A50:G50"/>
    <mergeCell ref="A51:G51"/>
    <mergeCell ref="A44:D44"/>
    <mergeCell ref="A45:D45"/>
    <mergeCell ref="A46:D46"/>
    <mergeCell ref="A47:D47"/>
    <mergeCell ref="A48:D48"/>
    <mergeCell ref="A49:D49"/>
    <mergeCell ref="A43:D43"/>
    <mergeCell ref="A32:B32"/>
    <mergeCell ref="A33:B33"/>
    <mergeCell ref="A34:B34"/>
    <mergeCell ref="A35:B35"/>
    <mergeCell ref="A36:G36"/>
    <mergeCell ref="A37:D37"/>
    <mergeCell ref="A38:D38"/>
    <mergeCell ref="A39:D39"/>
    <mergeCell ref="A40:D40"/>
    <mergeCell ref="A41:D41"/>
    <mergeCell ref="A42:D42"/>
    <mergeCell ref="A31:B31"/>
    <mergeCell ref="A13:E13"/>
    <mergeCell ref="A14:E14"/>
    <mergeCell ref="A15:E15"/>
    <mergeCell ref="A16:E16"/>
    <mergeCell ref="A18:G18"/>
    <mergeCell ref="A19:C19"/>
    <mergeCell ref="A20:B20"/>
    <mergeCell ref="A21:B21"/>
    <mergeCell ref="A22:B22"/>
    <mergeCell ref="A23:B23"/>
    <mergeCell ref="A30:B30"/>
    <mergeCell ref="A12:E12"/>
    <mergeCell ref="B1:E1"/>
    <mergeCell ref="B2:F2"/>
    <mergeCell ref="A3:E3"/>
    <mergeCell ref="A4:E4"/>
    <mergeCell ref="A5:E5"/>
    <mergeCell ref="A6:E6"/>
    <mergeCell ref="A7:E7"/>
    <mergeCell ref="A8:E8"/>
    <mergeCell ref="A9:G9"/>
    <mergeCell ref="A10:E10"/>
    <mergeCell ref="A11:E11"/>
  </mergeCells>
  <conditionalFormatting sqref="F46:F49">
    <cfRule type="expression" dxfId="191" priority="3">
      <formula>$A46=" "</formula>
    </cfRule>
  </conditionalFormatting>
  <conditionalFormatting sqref="B24:B29 C21:E29">
    <cfRule type="expression" dxfId="190" priority="2">
      <formula>$A21="entfällt"</formula>
    </cfRule>
    <cfRule type="expression" dxfId="189" priority="4">
      <formula>$H$2&gt;14</formula>
    </cfRule>
  </conditionalFormatting>
  <conditionalFormatting sqref="B24:B29">
    <cfRule type="expression" dxfId="188" priority="1">
      <formula>AND($A24="TN",$C24&lt;&gt;"")</formula>
    </cfRule>
  </conditionalFormatting>
  <dataValidations count="19">
    <dataValidation type="decimal" errorStyle="warning" allowBlank="1" showInputMessage="1" showErrorMessage="1" error="Eingegebener Abzug überschreitet maximal zulässigen Abzug, Wert bitte überprüfen!" sqref="F21:F35" xr:uid="{9C0E3511-D063-4DF5-B125-34EC202F3A5D}">
      <formula1>0</formula1>
      <formula2>$E21</formula2>
    </dataValidation>
    <dataValidation type="list" allowBlank="1" showInputMessage="1" showErrorMessage="1" sqref="C20" xr:uid="{9FE5664F-3C62-4E05-92F2-3480B79F35D7}">
      <formula1>"Lichtschranke,Druckmessplatte"</formula1>
    </dataValidation>
    <dataValidation type="whole" allowBlank="1" showInputMessage="1" showErrorMessage="1" errorTitle="Falsche Eingabe" error="Bitte Wert prüfen" sqref="D17" xr:uid="{4ACAF185-3BBF-4DE7-883B-57AB8741C9AB}">
      <formula1>1</formula1>
      <formula2>13</formula2>
    </dataValidation>
    <dataValidation type="list" allowBlank="1" showInputMessage="1" sqref="C24:C29" xr:uid="{54EB6042-F0A2-4F60-B543-F2BEEB9E82EE}">
      <formula1>INDIRECT($C$61)</formula1>
    </dataValidation>
    <dataValidation type="list" allowBlank="1" showInputMessage="1" sqref="C21:C23" xr:uid="{DA25CF35-C0F0-490C-80AD-345B961F15FE}">
      <formula1>INDIRECT($C$58)</formula1>
    </dataValidation>
    <dataValidation allowBlank="1" showInputMessage="1" showErrorMessage="1" prompt="Anzahl der Wiederholungen" sqref="F11" xr:uid="{8E09BE92-BA7B-4B36-811B-C8D5E182A990}"/>
    <dataValidation type="whole" allowBlank="1" showInputMessage="1" showErrorMessage="1" prompt="Abstand von der Oberkante des Turnhockers zur schlechtesten Fingerspitze in cm" sqref="F6" xr:uid="{FF6FC626-B044-433F-AB21-07F8CF0A00D2}">
      <formula1>-50</formula1>
      <formula2>50</formula2>
    </dataValidation>
    <dataValidation type="list" allowBlank="1" showInputMessage="1" showErrorMessage="1" prompt="Punktzahl nach Vergleich mit Bild" sqref="F5" xr:uid="{095B4D50-E15A-4FE4-9271-35B402DF998C}">
      <formula1>"0,2,6,10"</formula1>
    </dataValidation>
    <dataValidation type="whole" allowBlank="1" showErrorMessage="1" errorTitle="Falsche Eingabe" error="Bitte Wert prüfen" prompt="Höchste erreichte Stufe" sqref="F17" xr:uid="{E33F74AC-5260-4792-A0A8-6DEBF794E9FD}">
      <formula1>1</formula1>
      <formula2>11</formula2>
    </dataValidation>
    <dataValidation allowBlank="1" sqref="D20:E20" xr:uid="{ACC65205-DE66-4976-BFC3-67CF5C596C8E}"/>
    <dataValidation type="decimal" errorStyle="warning" allowBlank="1" showInputMessage="1" showErrorMessage="1" error="Abzug höher als Wert des Elements, bitte überprüfen!" prompt="Abzug" sqref="F38:F49" xr:uid="{5D0BF654-1B7C-48D7-9F34-2FDF89565843}">
      <formula1>0</formula1>
      <formula2>$E38</formula2>
    </dataValidation>
    <dataValidation type="whole" allowBlank="1" showInputMessage="1" showErrorMessage="1" prompt="AKs 9 - 13: Übersprungene Kästchen_x000a__x000a_AKs 14 - 21: Anzahl Saltos" sqref="F15" xr:uid="{0F1F9F62-607A-4DBA-BBD4-E2C54798ED66}">
      <formula1>0</formula1>
      <formula2>50</formula2>
    </dataValidation>
    <dataValidation type="list" allowBlank="1" showInputMessage="1" showErrorMessage="1" sqref="F1" xr:uid="{438EA990-98EC-47FD-962C-466EF2630681}">
      <formula1>"männlich,weiblich"</formula1>
    </dataValidation>
    <dataValidation type="whole" allowBlank="1" showInputMessage="1" showErrorMessage="1" sqref="H4:H8" xr:uid="{D798A045-B0BF-4953-BC0C-EA20A5E3107F}">
      <formula1>0</formula1>
      <formula2>10</formula2>
    </dataValidation>
    <dataValidation type="whole" allowBlank="1" showInputMessage="1" showErrorMessage="1" prompt="Haltezeit in Sekunden" sqref="F13" xr:uid="{7EB4FB0B-D879-44A3-B6FF-4420BB73F52D}">
      <formula1>0</formula1>
      <formula2>200</formula2>
    </dataValidation>
    <dataValidation type="whole" allowBlank="1" showInputMessage="1" showErrorMessage="1" prompt="Haltezeit in Sekunden" sqref="F16" xr:uid="{3C5C9742-B3C8-435F-BE5A-50B024F8BED8}">
      <formula1>0</formula1>
      <formula2>100</formula2>
    </dataValidation>
    <dataValidation type="whole" allowBlank="1" showInputMessage="1" showErrorMessage="1" prompt="Anzahl der Wiederholungen" sqref="F14 F12" xr:uid="{C49872DD-9C26-4B72-9FFB-EC4318A55302}">
      <formula1>0</formula1>
      <formula2>50</formula2>
    </dataValidation>
    <dataValidation type="list" operator="equal" allowBlank="1" showInputMessage="1" showErrorMessage="1" prompt="Punktzahl nach Vergleich mit Bild" sqref="F4" xr:uid="{F0E2286F-E34E-4532-8CDE-47232C49D44A}">
      <formula1>"0,2,6,10"</formula1>
    </dataValidation>
    <dataValidation type="decimal" errorStyle="warning" showDropDown="1" showErrorMessage="1" error="Wert unrealistisch hoch, bitte Eingabe überprüfen" promptTitle="Vorsicht" sqref="F20" xr:uid="{0FD7864A-05ED-486A-BC2D-31C31B528623}">
      <formula1>0</formula1>
      <formula2>30</formula2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Bitte Werte aus Dropdown auswählen" prompt="Abstand vom Boden laut Schablone" xr:uid="{470BF300-F745-4124-B445-E8CA2E873F81}">
          <x14:formula1>
            <xm:f>Punktetabellen!$A$3:$A$6</xm:f>
          </x14:formula1>
          <xm:sqref>F7:F8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500A0-61C6-4331-9B3C-C1833B27494E}">
  <sheetPr codeName="Tabelle10">
    <tabColor indexed="47"/>
    <pageSetUpPr fitToPage="1"/>
  </sheetPr>
  <dimension ref="A1:J70"/>
  <sheetViews>
    <sheetView zoomScale="110" zoomScaleNormal="110" workbookViewId="0">
      <pane ySplit="2" topLeftCell="A13" activePane="bottomLeft" state="frozen"/>
      <selection sqref="A1:H1"/>
      <selection pane="bottomLeft" activeCell="E23" sqref="E23"/>
    </sheetView>
  </sheetViews>
  <sheetFormatPr baseColWidth="10" defaultColWidth="0" defaultRowHeight="14.5" zeroHeight="1" outlineLevelRow="1" x14ac:dyDescent="0.35"/>
  <cols>
    <col min="1" max="1" width="11.453125" customWidth="1"/>
    <col min="2" max="2" width="12.1796875" customWidth="1"/>
    <col min="3" max="3" width="44.81640625" bestFit="1" customWidth="1"/>
    <col min="4" max="5" width="11.453125" style="148" customWidth="1"/>
    <col min="6" max="6" width="16.1796875" style="148" bestFit="1" customWidth="1"/>
    <col min="7" max="7" width="13.81640625" style="148" customWidth="1"/>
    <col min="8" max="8" width="11.453125" customWidth="1"/>
    <col min="9" max="9" width="6.1796875" style="23" hidden="1" customWidth="1"/>
    <col min="10" max="10" width="0" hidden="1" customWidth="1"/>
    <col min="11" max="16384" width="11.453125" hidden="1"/>
  </cols>
  <sheetData>
    <row r="1" spans="1:8" ht="15.5" x14ac:dyDescent="0.35">
      <c r="A1" s="16" t="s">
        <v>1</v>
      </c>
      <c r="B1" s="186" t="s">
        <v>355</v>
      </c>
      <c r="C1" s="187"/>
      <c r="D1" s="187"/>
      <c r="E1" s="188"/>
      <c r="F1" s="51" t="s">
        <v>97</v>
      </c>
      <c r="G1" s="61" t="s">
        <v>24</v>
      </c>
      <c r="H1" s="63">
        <v>2009</v>
      </c>
    </row>
    <row r="2" spans="1:8" ht="16" thickBot="1" x14ac:dyDescent="0.4">
      <c r="A2" s="17" t="s">
        <v>4</v>
      </c>
      <c r="B2" s="198" t="s">
        <v>359</v>
      </c>
      <c r="C2" s="199"/>
      <c r="D2" s="199"/>
      <c r="E2" s="199"/>
      <c r="F2" s="200"/>
      <c r="G2" s="62" t="s">
        <v>3</v>
      </c>
      <c r="H2" s="64">
        <f>2022-H1</f>
        <v>13</v>
      </c>
    </row>
    <row r="3" spans="1:8" ht="15" outlineLevel="1" thickBot="1" x14ac:dyDescent="0.4">
      <c r="A3" s="189" t="s">
        <v>26</v>
      </c>
      <c r="B3" s="190"/>
      <c r="C3" s="190"/>
      <c r="D3" s="190"/>
      <c r="E3" s="191"/>
      <c r="F3" s="46" t="s">
        <v>27</v>
      </c>
      <c r="G3" s="47" t="s">
        <v>28</v>
      </c>
      <c r="H3" s="22" t="s">
        <v>234</v>
      </c>
    </row>
    <row r="4" spans="1:8" outlineLevel="1" x14ac:dyDescent="0.35">
      <c r="A4" s="192" t="s">
        <v>30</v>
      </c>
      <c r="B4" s="193"/>
      <c r="C4" s="193"/>
      <c r="D4" s="193"/>
      <c r="E4" s="194"/>
      <c r="F4" s="25">
        <v>10</v>
      </c>
      <c r="G4" s="55" t="s">
        <v>32</v>
      </c>
      <c r="H4" s="34">
        <f>F4</f>
        <v>10</v>
      </c>
    </row>
    <row r="5" spans="1:8" outlineLevel="1" x14ac:dyDescent="0.35">
      <c r="A5" s="195" t="s">
        <v>85</v>
      </c>
      <c r="B5" s="196"/>
      <c r="C5" s="196"/>
      <c r="D5" s="196"/>
      <c r="E5" s="197"/>
      <c r="F5" s="14">
        <v>10</v>
      </c>
      <c r="G5" s="56" t="s">
        <v>32</v>
      </c>
      <c r="H5" s="35">
        <f>F5</f>
        <v>10</v>
      </c>
    </row>
    <row r="6" spans="1:8" outlineLevel="1" x14ac:dyDescent="0.35">
      <c r="A6" s="195" t="s">
        <v>33</v>
      </c>
      <c r="B6" s="196"/>
      <c r="C6" s="196"/>
      <c r="D6" s="196"/>
      <c r="E6" s="197"/>
      <c r="F6" s="14">
        <v>20</v>
      </c>
      <c r="G6" s="56" t="s">
        <v>31</v>
      </c>
      <c r="H6" s="35">
        <f>IF(F6="",0,VLOOKUP(F6,Punktetabellen!A10:B15,2,1))</f>
        <v>10</v>
      </c>
    </row>
    <row r="7" spans="1:8" outlineLevel="1" x14ac:dyDescent="0.35">
      <c r="A7" s="195" t="s">
        <v>34</v>
      </c>
      <c r="B7" s="196"/>
      <c r="C7" s="196"/>
      <c r="D7" s="196"/>
      <c r="E7" s="197"/>
      <c r="F7" s="14">
        <v>0</v>
      </c>
      <c r="G7" s="56" t="s">
        <v>31</v>
      </c>
      <c r="H7" s="35">
        <f>IF(F7="",0,VLOOKUP(F7,Punktetabellen!A3:B6,2,0))</f>
        <v>5</v>
      </c>
    </row>
    <row r="8" spans="1:8" ht="15" outlineLevel="1" thickBot="1" x14ac:dyDescent="0.4">
      <c r="A8" s="204" t="s">
        <v>35</v>
      </c>
      <c r="B8" s="205"/>
      <c r="C8" s="205"/>
      <c r="D8" s="205"/>
      <c r="E8" s="206"/>
      <c r="F8" s="41">
        <v>0</v>
      </c>
      <c r="G8" s="57" t="s">
        <v>31</v>
      </c>
      <c r="H8" s="36">
        <f>IF(F8="",0,VLOOKUP(F8,Punktetabellen!A3:B6,2,0))</f>
        <v>5</v>
      </c>
    </row>
    <row r="9" spans="1:8" ht="15" thickBot="1" x14ac:dyDescent="0.4">
      <c r="A9" s="210" t="s">
        <v>36</v>
      </c>
      <c r="B9" s="211"/>
      <c r="C9" s="211"/>
      <c r="D9" s="211"/>
      <c r="E9" s="211"/>
      <c r="F9" s="211"/>
      <c r="G9" s="211"/>
      <c r="H9" s="48">
        <f>SUM(H4:H8)</f>
        <v>40</v>
      </c>
    </row>
    <row r="10" spans="1:8" ht="15" outlineLevel="1" thickBot="1" x14ac:dyDescent="0.4">
      <c r="A10" s="189" t="s">
        <v>26</v>
      </c>
      <c r="B10" s="190"/>
      <c r="C10" s="190"/>
      <c r="D10" s="190"/>
      <c r="E10" s="191"/>
      <c r="F10" s="46" t="s">
        <v>27</v>
      </c>
      <c r="G10" s="47" t="s">
        <v>28</v>
      </c>
      <c r="H10" s="22" t="s">
        <v>234</v>
      </c>
    </row>
    <row r="11" spans="1:8" outlineLevel="1" x14ac:dyDescent="0.35">
      <c r="A11" s="207" t="s">
        <v>37</v>
      </c>
      <c r="B11" s="208"/>
      <c r="C11" s="208"/>
      <c r="D11" s="208"/>
      <c r="E11" s="209"/>
      <c r="F11" s="26">
        <v>1</v>
      </c>
      <c r="G11" s="58" t="s">
        <v>31</v>
      </c>
      <c r="H11" s="37">
        <f>IF($F11="",0,VLOOKUP($F11,Pkte_Klimmzug[],$H$2,1))</f>
        <v>0</v>
      </c>
    </row>
    <row r="12" spans="1:8" outlineLevel="1" x14ac:dyDescent="0.35">
      <c r="A12" s="201" t="s">
        <v>38</v>
      </c>
      <c r="B12" s="202"/>
      <c r="C12" s="202"/>
      <c r="D12" s="202"/>
      <c r="E12" s="203"/>
      <c r="F12" s="27">
        <v>2</v>
      </c>
      <c r="G12" s="59" t="s">
        <v>31</v>
      </c>
      <c r="H12" s="38">
        <f>IF($F12="",0,VLOOKUP($F12,Pkte_Beinheben[],$H$2,1))</f>
        <v>2</v>
      </c>
    </row>
    <row r="13" spans="1:8" outlineLevel="1" x14ac:dyDescent="0.35">
      <c r="A13" s="201" t="s">
        <v>88</v>
      </c>
      <c r="B13" s="202"/>
      <c r="C13" s="202"/>
      <c r="D13" s="202"/>
      <c r="E13" s="203"/>
      <c r="F13" s="27">
        <v>100</v>
      </c>
      <c r="G13" s="59" t="s">
        <v>31</v>
      </c>
      <c r="H13" s="38">
        <f>IF($F13="",0,VLOOKUP($F13,Pkte_Flieger[],$H$2,1))</f>
        <v>10</v>
      </c>
    </row>
    <row r="14" spans="1:8" outlineLevel="1" x14ac:dyDescent="0.35">
      <c r="A14" s="201" t="s">
        <v>39</v>
      </c>
      <c r="B14" s="202"/>
      <c r="C14" s="202"/>
      <c r="D14" s="202"/>
      <c r="E14" s="203"/>
      <c r="F14" s="27">
        <v>25</v>
      </c>
      <c r="G14" s="59" t="s">
        <v>31</v>
      </c>
      <c r="H14" s="38">
        <f>IF($F14="",0,VLOOKUP($F14,Pkte_Rollenverbindung[],$H$2,1))</f>
        <v>10</v>
      </c>
    </row>
    <row r="15" spans="1:8" outlineLevel="1" x14ac:dyDescent="0.35">
      <c r="A15" s="201" t="s">
        <v>89</v>
      </c>
      <c r="B15" s="202"/>
      <c r="C15" s="202"/>
      <c r="D15" s="202"/>
      <c r="E15" s="203"/>
      <c r="F15" s="27">
        <v>36</v>
      </c>
      <c r="G15" s="59" t="s">
        <v>31</v>
      </c>
      <c r="H15" s="38">
        <f>IF($F15="",0,VLOOKUP($F15,Pkte_Prellsprung[],$H$2,1))</f>
        <v>8</v>
      </c>
    </row>
    <row r="16" spans="1:8" outlineLevel="1" x14ac:dyDescent="0.35">
      <c r="A16" s="201" t="s">
        <v>90</v>
      </c>
      <c r="B16" s="202"/>
      <c r="C16" s="202"/>
      <c r="D16" s="202"/>
      <c r="E16" s="203"/>
      <c r="F16" s="28">
        <v>30</v>
      </c>
      <c r="G16" s="59" t="s">
        <v>31</v>
      </c>
      <c r="H16" s="38">
        <f>IF($F16="",0,VLOOKUP($F16,Pkte_Handstand[],$H$2,1))</f>
        <v>10</v>
      </c>
    </row>
    <row r="17" spans="1:8" ht="15" outlineLevel="1" thickBot="1" x14ac:dyDescent="0.4">
      <c r="A17" s="112" t="s">
        <v>93</v>
      </c>
      <c r="B17" s="113"/>
      <c r="C17" s="114" t="s">
        <v>269</v>
      </c>
      <c r="D17" s="29">
        <v>6</v>
      </c>
      <c r="E17" s="115" t="s">
        <v>270</v>
      </c>
      <c r="F17" s="29">
        <v>9</v>
      </c>
      <c r="G17" s="60" t="s">
        <v>31</v>
      </c>
      <c r="H17" s="39">
        <f>IF($F17="",0,IF($F$1="weiblich",VLOOKUP((100*$D17+$F17),Pkte_Shuttle_W[],$H$2,1),VLOOKUP((100*$D17+$F17),Pkte_Shuttle_M[],$H$2,1)))</f>
        <v>4</v>
      </c>
    </row>
    <row r="18" spans="1:8" ht="15" thickBot="1" x14ac:dyDescent="0.4">
      <c r="A18" s="161" t="s">
        <v>40</v>
      </c>
      <c r="B18" s="162"/>
      <c r="C18" s="162"/>
      <c r="D18" s="162"/>
      <c r="E18" s="162"/>
      <c r="F18" s="162"/>
      <c r="G18" s="162"/>
      <c r="H18" s="48">
        <f>SUM(H12:H17)</f>
        <v>44</v>
      </c>
    </row>
    <row r="19" spans="1:8" ht="15" outlineLevel="1" thickBot="1" x14ac:dyDescent="0.4">
      <c r="A19" s="159" t="s">
        <v>26</v>
      </c>
      <c r="B19" s="160"/>
      <c r="C19" s="160"/>
      <c r="D19" s="85" t="s">
        <v>235</v>
      </c>
      <c r="E19" s="85" t="s">
        <v>238</v>
      </c>
      <c r="F19" s="85" t="s">
        <v>236</v>
      </c>
      <c r="G19" s="86" t="s">
        <v>28</v>
      </c>
      <c r="H19" s="49" t="s">
        <v>234</v>
      </c>
    </row>
    <row r="20" spans="1:8" outlineLevel="1" x14ac:dyDescent="0.35">
      <c r="A20" s="167" t="s">
        <v>148</v>
      </c>
      <c r="B20" s="168"/>
      <c r="C20" s="116" t="str">
        <f>Infos!A10</f>
        <v>Druckmessplatte</v>
      </c>
      <c r="D20" s="90">
        <f>IF(F1="männlich",VLOOKUP(H2,Standsprünge!A3:C15,3,0),VLOOKUP(H2,Standsprünge!A3:B15,2,0))+IF(C20="Druckmessplatte",0)</f>
        <v>15.1</v>
      </c>
      <c r="E20" s="90"/>
      <c r="F20" s="67">
        <v>15.435</v>
      </c>
      <c r="G20" s="91" t="s">
        <v>149</v>
      </c>
      <c r="H20" s="88">
        <f>IF(F20="",0,(F20-D20)*10)</f>
        <v>3.3500000000000085</v>
      </c>
    </row>
    <row r="21" spans="1:8" outlineLevel="1" x14ac:dyDescent="0.35">
      <c r="A21" s="165" t="str">
        <f>IF(H2&gt;15,"entfällt","TBN")</f>
        <v>TBN</v>
      </c>
      <c r="B21" s="166"/>
      <c r="C21" s="77" t="s">
        <v>178</v>
      </c>
      <c r="D21" s="78">
        <v>9</v>
      </c>
      <c r="E21" s="78">
        <v>6</v>
      </c>
      <c r="F21" s="42">
        <v>4</v>
      </c>
      <c r="G21" s="71" t="str">
        <f>IF(H2&gt;16,"entfällt","Wert - Abzug")</f>
        <v>Wert - Abzug</v>
      </c>
      <c r="H21" s="66">
        <f>IF(A21="entfällt",0,IF(F21="",0,D21-F21))</f>
        <v>5</v>
      </c>
    </row>
    <row r="22" spans="1:8" outlineLevel="1" x14ac:dyDescent="0.35">
      <c r="A22" s="165" t="str">
        <f>IF(H2&gt;15,"entfällt","TBN")</f>
        <v>TBN</v>
      </c>
      <c r="B22" s="166"/>
      <c r="C22" s="77" t="s">
        <v>348</v>
      </c>
      <c r="D22" s="78">
        <v>11</v>
      </c>
      <c r="E22" s="78">
        <v>6</v>
      </c>
      <c r="F22" s="42">
        <v>4</v>
      </c>
      <c r="G22" s="71" t="str">
        <f>IF(H2&gt;16,"entfällt","Wert - Abzug")</f>
        <v>Wert - Abzug</v>
      </c>
      <c r="H22" s="66">
        <f t="shared" ref="H22:H28" si="0">IF(A22="entfällt",0,IF(F22="",0,D22-F22))</f>
        <v>7</v>
      </c>
    </row>
    <row r="23" spans="1:8" outlineLevel="1" x14ac:dyDescent="0.35">
      <c r="A23" s="165" t="str">
        <f>IF(H2&gt;11,"entfällt","TBN")</f>
        <v>entfällt</v>
      </c>
      <c r="B23" s="166"/>
      <c r="C23" s="77"/>
      <c r="D23" s="78" t="str">
        <f ca="1">IF(C23="","",VLOOKUP(C23,INDIRECT($C$57),2,0))</f>
        <v/>
      </c>
      <c r="E23" s="78" t="str">
        <f ca="1">IF(C23="","",VLOOKUP(C23,INDIRECT($C$57),3,0))</f>
        <v/>
      </c>
      <c r="F23" s="42"/>
      <c r="G23" s="71" t="str">
        <f>IF(H2&gt;16,"entfällt","Wert - Abzug")</f>
        <v>Wert - Abzug</v>
      </c>
      <c r="H23" s="66">
        <f t="shared" si="0"/>
        <v>0</v>
      </c>
    </row>
    <row r="24" spans="1:8" outlineLevel="1" x14ac:dyDescent="0.35">
      <c r="A24" s="110" t="s">
        <v>147</v>
      </c>
      <c r="B24" s="111"/>
      <c r="C24" s="77" t="s">
        <v>180</v>
      </c>
      <c r="D24" s="78">
        <v>13</v>
      </c>
      <c r="E24" s="78">
        <v>6</v>
      </c>
      <c r="F24" s="42">
        <v>4</v>
      </c>
      <c r="G24" s="71" t="s">
        <v>146</v>
      </c>
      <c r="H24" s="66">
        <f t="shared" si="0"/>
        <v>9</v>
      </c>
    </row>
    <row r="25" spans="1:8" outlineLevel="1" x14ac:dyDescent="0.35">
      <c r="A25" s="110" t="s">
        <v>147</v>
      </c>
      <c r="B25" s="111"/>
      <c r="C25" s="77" t="s">
        <v>179</v>
      </c>
      <c r="D25" s="78">
        <v>11</v>
      </c>
      <c r="E25" s="78">
        <v>6</v>
      </c>
      <c r="F25" s="42">
        <v>2</v>
      </c>
      <c r="G25" s="71" t="s">
        <v>146</v>
      </c>
      <c r="H25" s="66">
        <f t="shared" si="0"/>
        <v>9</v>
      </c>
    </row>
    <row r="26" spans="1:8" outlineLevel="1" x14ac:dyDescent="0.35">
      <c r="A26" s="110" t="s">
        <v>147</v>
      </c>
      <c r="B26" s="111"/>
      <c r="C26" s="77" t="s">
        <v>181</v>
      </c>
      <c r="D26" s="78">
        <v>12</v>
      </c>
      <c r="E26" s="78">
        <v>6</v>
      </c>
      <c r="F26" s="42">
        <v>4</v>
      </c>
      <c r="G26" s="71" t="s">
        <v>146</v>
      </c>
      <c r="H26" s="66">
        <f t="shared" si="0"/>
        <v>8</v>
      </c>
    </row>
    <row r="27" spans="1:8" outlineLevel="1" x14ac:dyDescent="0.35">
      <c r="A27" s="110" t="str">
        <f>IF(H2&gt;11,"TN","entfällt")</f>
        <v>TN</v>
      </c>
      <c r="B27" s="111"/>
      <c r="C27" s="77" t="s">
        <v>62</v>
      </c>
      <c r="D27" s="78">
        <v>15</v>
      </c>
      <c r="E27" s="78">
        <v>6</v>
      </c>
      <c r="F27" s="42">
        <v>4</v>
      </c>
      <c r="G27" s="71" t="str">
        <f>IF(H2&gt;12,"Wert - Abzug","entfällt")</f>
        <v>Wert - Abzug</v>
      </c>
      <c r="H27" s="66">
        <f t="shared" si="0"/>
        <v>11</v>
      </c>
    </row>
    <row r="28" spans="1:8" outlineLevel="1" x14ac:dyDescent="0.35">
      <c r="A28" s="110" t="str">
        <f>IF(H2&gt;15,"TN","entfällt")</f>
        <v>entfällt</v>
      </c>
      <c r="B28" s="111"/>
      <c r="C28" s="77"/>
      <c r="D28" s="78"/>
      <c r="E28" s="78"/>
      <c r="F28" s="42"/>
      <c r="G28" s="71" t="str">
        <f>IF(H2&gt;16,"Wert - Abzug","entfällt")</f>
        <v>entfällt</v>
      </c>
      <c r="H28" s="66">
        <f t="shared" si="0"/>
        <v>0</v>
      </c>
    </row>
    <row r="29" spans="1:8" outlineLevel="1" x14ac:dyDescent="0.35">
      <c r="A29" s="110" t="str">
        <f>IF(H2&gt;15,"TN","entfällt")</f>
        <v>entfällt</v>
      </c>
      <c r="B29" s="111"/>
      <c r="C29" s="77"/>
      <c r="D29" s="78"/>
      <c r="E29" s="78"/>
      <c r="F29" s="42"/>
      <c r="G29" s="71" t="str">
        <f>IF(H2&gt;16,"Wert - Abzug","entfällt")</f>
        <v>entfällt</v>
      </c>
      <c r="H29" s="66">
        <f>IF(A29="entfällt",0,IF(F29="",0,D29-F29))</f>
        <v>0</v>
      </c>
    </row>
    <row r="30" spans="1:8" outlineLevel="1" x14ac:dyDescent="0.35">
      <c r="A30" s="165" t="str">
        <f>IF($H$2&gt;10,"Verbindung Sprung 1","entfällt")</f>
        <v>Verbindung Sprung 1</v>
      </c>
      <c r="B30" s="166"/>
      <c r="C30" s="40" t="str">
        <f ca="1">IF(A30&lt;&gt;"entfällt",VLOOKUP(1,INDIRECT($C$68),2,0),"")</f>
        <v>40/</v>
      </c>
      <c r="D30" s="40">
        <f ca="1">IF(A30&lt;&gt;"entfällt",VLOOKUP(1,INDIRECT($C$68),3,0),"")</f>
        <v>6</v>
      </c>
      <c r="E30" s="40">
        <f ca="1">IF(A30&lt;&gt;"entfällt",VLOOKUP(1,INDIRECT($C$68),4,0),"")</f>
        <v>3</v>
      </c>
      <c r="F30" s="42">
        <v>2</v>
      </c>
      <c r="G30" s="71" t="str">
        <f>IF(H2&gt;12,"Wert - Abzug","entfällt")</f>
        <v>Wert - Abzug</v>
      </c>
      <c r="H30" s="66"/>
    </row>
    <row r="31" spans="1:8" outlineLevel="1" x14ac:dyDescent="0.35">
      <c r="A31" s="165" t="str">
        <f>IF($H$2&gt;10,"Verbindung Sprung 2","entfällt")</f>
        <v>Verbindung Sprung 2</v>
      </c>
      <c r="B31" s="166"/>
      <c r="C31" s="40" t="str">
        <f ca="1">IF(A31&lt;&gt;"entfällt",VLOOKUP(2,INDIRECT($C$68),2,0),"")</f>
        <v>41/</v>
      </c>
      <c r="D31" s="40">
        <f ca="1">IF(A31&lt;&gt;"entfällt",VLOOKUP(2,INDIRECT($C$68),3,0),"")</f>
        <v>6</v>
      </c>
      <c r="E31" s="40">
        <f ca="1">IF(A31&lt;&gt;"entfällt",VLOOKUP(2,INDIRECT($C$68),4,0),"")</f>
        <v>3</v>
      </c>
      <c r="F31" s="42">
        <v>3</v>
      </c>
      <c r="G31" s="71" t="str">
        <f>IF(H2&gt;12,"Wert - Abzug","entfällt")</f>
        <v>Wert - Abzug</v>
      </c>
      <c r="H31" s="66"/>
    </row>
    <row r="32" spans="1:8" outlineLevel="1" x14ac:dyDescent="0.35">
      <c r="A32" s="165" t="str">
        <f>IF($H$2&gt;10,"Verbindung Sprung 3","entfällt")</f>
        <v>Verbindung Sprung 3</v>
      </c>
      <c r="B32" s="166"/>
      <c r="C32" s="40" t="str">
        <f ca="1">IF(A32&lt;&gt;"entfällt",VLOOKUP(3,INDIRECT($C$68),2,0),"")</f>
        <v>42/</v>
      </c>
      <c r="D32" s="40">
        <f ca="1">IF(A32&lt;&gt;"entfällt",VLOOKUP(3,INDIRECT($C$68),3,0),"")</f>
        <v>7</v>
      </c>
      <c r="E32" s="40">
        <f ca="1">IF(A32&lt;&gt;"entfällt",VLOOKUP(3,INDIRECT($C$68),4,0),"")</f>
        <v>3</v>
      </c>
      <c r="F32" s="42">
        <v>2</v>
      </c>
      <c r="G32" s="71" t="str">
        <f>IF(H2&gt;12,"Wert - Abzug","entfällt")</f>
        <v>Wert - Abzug</v>
      </c>
      <c r="H32" s="66"/>
    </row>
    <row r="33" spans="1:8" outlineLevel="1" x14ac:dyDescent="0.35">
      <c r="A33" s="165" t="str">
        <f>IF($H$2&gt;10,"Verbindung Sprung 4","entfällt")</f>
        <v>Verbindung Sprung 4</v>
      </c>
      <c r="B33" s="166"/>
      <c r="C33" s="40" t="str">
        <f ca="1">IF(A33&lt;&gt;"entfällt",VLOOKUP(4,INDIRECT($C$68),2,0),"")</f>
        <v>40°</v>
      </c>
      <c r="D33" s="40">
        <f ca="1">IF(A33&lt;&gt;"entfällt",VLOOKUP(4,INDIRECT($C$68),3,0),"")</f>
        <v>5</v>
      </c>
      <c r="E33" s="40">
        <f ca="1">IF(A33&lt;&gt;"entfällt",VLOOKUP(4,INDIRECT($C$68),4,0),"")</f>
        <v>3</v>
      </c>
      <c r="F33" s="42">
        <v>2</v>
      </c>
      <c r="G33" s="71" t="str">
        <f>IF(H2&gt;12,"Wert - Abzug","entfällt")</f>
        <v>Wert - Abzug</v>
      </c>
      <c r="H33" s="66"/>
    </row>
    <row r="34" spans="1:8" outlineLevel="1" x14ac:dyDescent="0.35">
      <c r="A34" s="165" t="str">
        <f>IF($H$2&gt;10,"Verbindung Sprung 5","entfällt")</f>
        <v>Verbindung Sprung 5</v>
      </c>
      <c r="B34" s="166"/>
      <c r="C34" s="40" t="str">
        <f ca="1">IF(A34&lt;&gt;"entfällt",VLOOKUP(5,INDIRECT($C$68),2,0),"")</f>
        <v>41°</v>
      </c>
      <c r="D34" s="40">
        <f ca="1">IF(A34&lt;&gt;"entfällt",VLOOKUP(5,INDIRECT($C$68),3,0),"")</f>
        <v>6</v>
      </c>
      <c r="E34" s="40">
        <f ca="1">IF(A34&lt;&gt;"entfällt",VLOOKUP(5,INDIRECT($C$68),4,0),"")</f>
        <v>3</v>
      </c>
      <c r="F34" s="42">
        <v>2</v>
      </c>
      <c r="G34" s="71" t="str">
        <f>IF(H2&gt;12,"Wert - Abzug","entfällt")</f>
        <v>Wert - Abzug</v>
      </c>
      <c r="H34" s="66"/>
    </row>
    <row r="35" spans="1:8" ht="15" outlineLevel="1" thickBot="1" x14ac:dyDescent="0.4">
      <c r="A35" s="171" t="str">
        <f>IF($H$2&gt;10,"Verbindung Sprung 6","entfällt")</f>
        <v>Verbindung Sprung 6</v>
      </c>
      <c r="B35" s="172"/>
      <c r="C35" s="68" t="str">
        <f ca="1">IF(A35&lt;&gt;"entfällt",VLOOKUP(6,INDIRECT($C$68),2,0),"")</f>
        <v>800°</v>
      </c>
      <c r="D35" s="68">
        <f ca="1">IF(A35&lt;&gt;"entfällt",VLOOKUP(6,INDIRECT($C$68),3,0),"")</f>
        <v>10</v>
      </c>
      <c r="E35" s="68">
        <f ca="1">IF(A35&lt;&gt;"entfällt",VLOOKUP(6,INDIRECT($C$68),4,0),"")</f>
        <v>3</v>
      </c>
      <c r="F35" s="69">
        <v>2</v>
      </c>
      <c r="G35" s="72" t="str">
        <f>IF(H2&gt;12,"Wert - Abzug","entfällt")</f>
        <v>Wert - Abzug</v>
      </c>
      <c r="H35" s="70">
        <f>30-F30-F31-F32-F33-F34-F35</f>
        <v>17</v>
      </c>
    </row>
    <row r="36" spans="1:8" ht="15" thickBot="1" x14ac:dyDescent="0.4">
      <c r="A36" s="173" t="s">
        <v>41</v>
      </c>
      <c r="B36" s="174"/>
      <c r="C36" s="174"/>
      <c r="D36" s="174"/>
      <c r="E36" s="174"/>
      <c r="F36" s="174"/>
      <c r="G36" s="175"/>
      <c r="H36" s="89">
        <f>SUM(H20:H35)</f>
        <v>69.350000000000009</v>
      </c>
    </row>
    <row r="37" spans="1:8" ht="15" outlineLevel="1" thickBot="1" x14ac:dyDescent="0.4">
      <c r="A37" s="181" t="s">
        <v>99</v>
      </c>
      <c r="B37" s="182"/>
      <c r="C37" s="182"/>
      <c r="D37" s="183"/>
      <c r="E37" s="85" t="s">
        <v>27</v>
      </c>
      <c r="F37" s="85" t="s">
        <v>237</v>
      </c>
      <c r="G37" s="86" t="s">
        <v>28</v>
      </c>
      <c r="H37" s="49" t="s">
        <v>234</v>
      </c>
    </row>
    <row r="38" spans="1:8" outlineLevel="1" x14ac:dyDescent="0.35">
      <c r="A38" s="179" t="str">
        <f ca="1">VLOOKUP(1,INDIRECT($C$65),2,0)</f>
        <v>Salto vorwärts mit Anlauf</v>
      </c>
      <c r="B38" s="180"/>
      <c r="C38" s="180"/>
      <c r="D38" s="180"/>
      <c r="E38" s="92">
        <f ca="1">VLOOKUP(1,INDIRECT($C$65),3,0)</f>
        <v>3</v>
      </c>
      <c r="F38" s="79">
        <v>0</v>
      </c>
      <c r="G38" s="80" t="s">
        <v>146</v>
      </c>
      <c r="H38" s="84">
        <f ca="1">IF(E38=" ","",IF(F38="",0,E38-F38))</f>
        <v>3</v>
      </c>
    </row>
    <row r="39" spans="1:8" outlineLevel="1" x14ac:dyDescent="0.35">
      <c r="A39" s="163" t="str">
        <f ca="1">VLOOKUP(2,INDIRECT($C$65),2,0)</f>
        <v>Handstand, 1/1 Drehung, Abrollen</v>
      </c>
      <c r="B39" s="164"/>
      <c r="C39" s="164"/>
      <c r="D39" s="164"/>
      <c r="E39" s="87">
        <f ca="1">VLOOKUP(2,INDIRECT($C$65),3,0)</f>
        <v>3</v>
      </c>
      <c r="F39" s="43">
        <v>0</v>
      </c>
      <c r="G39" s="81" t="s">
        <v>146</v>
      </c>
      <c r="H39" s="84">
        <f t="shared" ref="H39:H49" ca="1" si="1">IF(E39=" ","",IF(F39="",0,E39-F39))</f>
        <v>3</v>
      </c>
    </row>
    <row r="40" spans="1:8" outlineLevel="1" x14ac:dyDescent="0.35">
      <c r="A40" s="163" t="str">
        <f ca="1">VLOOKUP(3,INDIRECT($C$65),2,0)</f>
        <v>Strecksprung 1/2 Drehung</v>
      </c>
      <c r="B40" s="164"/>
      <c r="C40" s="164"/>
      <c r="D40" s="164"/>
      <c r="E40" s="87">
        <f ca="1">VLOOKUP(3,INDIRECT($C$65),3,0)</f>
        <v>1.5</v>
      </c>
      <c r="F40" s="43">
        <v>0</v>
      </c>
      <c r="G40" s="81" t="s">
        <v>146</v>
      </c>
      <c r="H40" s="84">
        <f t="shared" ca="1" si="1"/>
        <v>1.5</v>
      </c>
    </row>
    <row r="41" spans="1:8" outlineLevel="1" x14ac:dyDescent="0.35">
      <c r="A41" s="163" t="str">
        <f ca="1">VLOOKUP(4,INDIRECT($C$65),2,0)</f>
        <v>Vorspreizen, Handstandhüpfer, Abrollen Grätschsitz</v>
      </c>
      <c r="B41" s="164"/>
      <c r="C41" s="164"/>
      <c r="D41" s="164"/>
      <c r="E41" s="87">
        <f ca="1">VLOOKUP(4,INDIRECT($C$65),3,0)</f>
        <v>1.5</v>
      </c>
      <c r="F41" s="43">
        <v>0</v>
      </c>
      <c r="G41" s="81" t="s">
        <v>146</v>
      </c>
      <c r="H41" s="84">
        <f t="shared" ca="1" si="1"/>
        <v>1.5</v>
      </c>
    </row>
    <row r="42" spans="1:8" outlineLevel="1" x14ac:dyDescent="0.35">
      <c r="A42" s="163" t="str">
        <f ca="1">VLOOKUP(5,INDIRECT($C$65),2,0)</f>
        <v>Briefmarke, Rückgrätschen --&gt; Bauchlage</v>
      </c>
      <c r="B42" s="164"/>
      <c r="C42" s="164"/>
      <c r="D42" s="164"/>
      <c r="E42" s="87">
        <f ca="1">VLOOKUP(5,INDIRECT($C$65),3,0)</f>
        <v>3</v>
      </c>
      <c r="F42" s="43">
        <v>1.5</v>
      </c>
      <c r="G42" s="81" t="s">
        <v>146</v>
      </c>
      <c r="H42" s="84">
        <f t="shared" ca="1" si="1"/>
        <v>1.5</v>
      </c>
    </row>
    <row r="43" spans="1:8" outlineLevel="1" x14ac:dyDescent="0.35">
      <c r="A43" s="163" t="str">
        <f ca="1">VLOOKUP(6,INDIRECT($C$65),2,0)</f>
        <v>Kniestand, Abdrücken gebückt --&gt; Handstand, abrollen</v>
      </c>
      <c r="B43" s="164"/>
      <c r="C43" s="164"/>
      <c r="D43" s="164"/>
      <c r="E43" s="87">
        <f ca="1">VLOOKUP(6,INDIRECT($C$65),3,0)</f>
        <v>3</v>
      </c>
      <c r="F43" s="43">
        <v>1</v>
      </c>
      <c r="G43" s="81" t="s">
        <v>146</v>
      </c>
      <c r="H43" s="84">
        <f t="shared" ca="1" si="1"/>
        <v>2</v>
      </c>
    </row>
    <row r="44" spans="1:8" outlineLevel="1" x14ac:dyDescent="0.35">
      <c r="A44" s="163" t="str">
        <f ca="1">VLOOKUP(7,INDIRECT($C$65),2,0)</f>
        <v>Vorspreizen, Standwaage --&gt; abrollen, einbeinig rechts auf</v>
      </c>
      <c r="B44" s="164"/>
      <c r="C44" s="164"/>
      <c r="D44" s="164"/>
      <c r="E44" s="87">
        <f ca="1">VLOOKUP(7,INDIRECT($C$65),3,0)</f>
        <v>3.5</v>
      </c>
      <c r="F44" s="43">
        <v>2.5</v>
      </c>
      <c r="G44" s="81" t="s">
        <v>146</v>
      </c>
      <c r="H44" s="84">
        <f t="shared" ca="1" si="1"/>
        <v>1</v>
      </c>
    </row>
    <row r="45" spans="1:8" outlineLevel="1" x14ac:dyDescent="0.35">
      <c r="A45" s="163" t="str">
        <f ca="1">VLOOKUP(8,INDIRECT($C$65),2,0)</f>
        <v>Vorspreizen, Standwaage --&gt; abrollen, einbeinig links auf</v>
      </c>
      <c r="B45" s="164"/>
      <c r="C45" s="164"/>
      <c r="D45" s="164"/>
      <c r="E45" s="87">
        <f ca="1">VLOOKUP(8,INDIRECT($C$65),3,0)</f>
        <v>3.5</v>
      </c>
      <c r="F45" s="43">
        <v>2.5</v>
      </c>
      <c r="G45" s="81" t="s">
        <v>146</v>
      </c>
      <c r="H45" s="84">
        <f t="shared" ca="1" si="1"/>
        <v>1</v>
      </c>
    </row>
    <row r="46" spans="1:8" outlineLevel="1" x14ac:dyDescent="0.35">
      <c r="A46" s="163" t="str">
        <f ca="1">VLOOKUP(9,INDIRECT($C$65),2,0)</f>
        <v>Rolle rückwärts durch Handstand</v>
      </c>
      <c r="B46" s="164"/>
      <c r="C46" s="164"/>
      <c r="D46" s="164"/>
      <c r="E46" s="87">
        <f ca="1">VLOOKUP(9,INDIRECT($C$65),3,0)</f>
        <v>3</v>
      </c>
      <c r="F46" s="43">
        <v>2.5</v>
      </c>
      <c r="G46" s="81" t="str">
        <f>IF(H2&gt;16,"","Wert - Abzug")</f>
        <v>Wert - Abzug</v>
      </c>
      <c r="H46" s="84">
        <f t="shared" ca="1" si="1"/>
        <v>0.5</v>
      </c>
    </row>
    <row r="47" spans="1:8" outlineLevel="1" x14ac:dyDescent="0.35">
      <c r="A47" s="163" t="str">
        <f ca="1">VLOOKUP(10,INDIRECT($C$65),2,0)</f>
        <v>Strecksprung 1/2 Drehung</v>
      </c>
      <c r="B47" s="164"/>
      <c r="C47" s="164"/>
      <c r="D47" s="164"/>
      <c r="E47" s="87">
        <f ca="1">VLOOKUP(10,INDIRECT($C$65),3,0)</f>
        <v>1</v>
      </c>
      <c r="F47" s="43">
        <v>0</v>
      </c>
      <c r="G47" s="81" t="str">
        <f>IF(H2&gt;16,"","Wert - Abzug")</f>
        <v>Wert - Abzug</v>
      </c>
      <c r="H47" s="84">
        <f t="shared" ca="1" si="1"/>
        <v>1</v>
      </c>
    </row>
    <row r="48" spans="1:8" outlineLevel="1" x14ac:dyDescent="0.35">
      <c r="A48" s="163" t="str">
        <f ca="1">VLOOKUP(11,INDIRECT($C$65),2,0)</f>
        <v>Sprungrolle mit Anlauf</v>
      </c>
      <c r="B48" s="164"/>
      <c r="C48" s="164"/>
      <c r="D48" s="164"/>
      <c r="E48" s="87">
        <f ca="1">VLOOKUP(11,INDIRECT($C$65),3,0)</f>
        <v>2</v>
      </c>
      <c r="F48" s="43">
        <v>0</v>
      </c>
      <c r="G48" s="81" t="str">
        <f>IF(H2&gt;13,"","Wert - Abzug")</f>
        <v>Wert - Abzug</v>
      </c>
      <c r="H48" s="84">
        <f t="shared" ca="1" si="1"/>
        <v>2</v>
      </c>
    </row>
    <row r="49" spans="1:8" ht="15" outlineLevel="1" thickBot="1" x14ac:dyDescent="0.4">
      <c r="A49" s="184" t="str">
        <f ca="1">VLOOKUP(12,INDIRECT($C$65),2,0)</f>
        <v>Strecksprung 1/1 Drehung</v>
      </c>
      <c r="B49" s="185"/>
      <c r="C49" s="185"/>
      <c r="D49" s="185"/>
      <c r="E49" s="93">
        <f ca="1">VLOOKUP(12,INDIRECT($C$65),3,0)</f>
        <v>2</v>
      </c>
      <c r="F49" s="82">
        <v>0.5</v>
      </c>
      <c r="G49" s="83" t="str">
        <f>IF(OR(H2=9,H2=12,H2=13),"Wert - Abzug","")</f>
        <v>Wert - Abzug</v>
      </c>
      <c r="H49" s="84">
        <f t="shared" ca="1" si="1"/>
        <v>1.5</v>
      </c>
    </row>
    <row r="50" spans="1:8" ht="15" thickBot="1" x14ac:dyDescent="0.4">
      <c r="A50" s="176" t="s">
        <v>98</v>
      </c>
      <c r="B50" s="177"/>
      <c r="C50" s="177"/>
      <c r="D50" s="177"/>
      <c r="E50" s="177"/>
      <c r="F50" s="177"/>
      <c r="G50" s="178"/>
      <c r="H50" s="44">
        <f ca="1">SUM(H38:H49)</f>
        <v>19.5</v>
      </c>
    </row>
    <row r="51" spans="1:8" ht="16" thickBot="1" x14ac:dyDescent="0.4">
      <c r="A51" s="169" t="s">
        <v>42</v>
      </c>
      <c r="B51" s="170"/>
      <c r="C51" s="170"/>
      <c r="D51" s="170"/>
      <c r="E51" s="170"/>
      <c r="F51" s="170"/>
      <c r="G51" s="170"/>
      <c r="H51" s="94">
        <f ca="1">SUM(H9,H18,H36,H50)</f>
        <v>172.85000000000002</v>
      </c>
    </row>
    <row r="52" spans="1:8" s="23" customFormat="1" x14ac:dyDescent="0.35">
      <c r="D52" s="50"/>
      <c r="E52" s="50"/>
      <c r="F52" s="50"/>
      <c r="G52" s="50"/>
    </row>
    <row r="53" spans="1:8" s="23" customFormat="1" hidden="1" x14ac:dyDescent="0.35">
      <c r="C53" s="24"/>
      <c r="D53" s="50"/>
      <c r="E53" s="50"/>
      <c r="F53" s="50"/>
      <c r="G53" s="50"/>
    </row>
    <row r="54" spans="1:8" s="23" customFormat="1" hidden="1" x14ac:dyDescent="0.35">
      <c r="B54" s="23" t="s">
        <v>249</v>
      </c>
      <c r="C54" s="23" t="str">
        <f>IF(H2&lt;13,"beide",F1)</f>
        <v>weiblich</v>
      </c>
      <c r="D54" s="50"/>
      <c r="E54" s="50"/>
      <c r="F54" s="50"/>
      <c r="G54" s="50"/>
    </row>
    <row r="55" spans="1:8" s="23" customFormat="1" hidden="1" x14ac:dyDescent="0.35">
      <c r="B55" s="23" t="s">
        <v>3</v>
      </c>
      <c r="C55" s="23" t="str">
        <f>IF(OR(H2=8,H2=11),H2,IF(H2&lt;11,"9_10",IF(H2&lt;14,"12_13",IF(H2&lt;16,"14_15",IF(H2&lt;18,"16_17",18)))))</f>
        <v>12_13</v>
      </c>
      <c r="D55" s="50"/>
      <c r="E55" s="50"/>
      <c r="F55" s="50"/>
      <c r="G55" s="50"/>
    </row>
    <row r="56" spans="1:8" s="23" customFormat="1" hidden="1" x14ac:dyDescent="0.35">
      <c r="D56" s="50"/>
      <c r="E56" s="50"/>
      <c r="F56" s="50"/>
      <c r="G56" s="50"/>
    </row>
    <row r="57" spans="1:8" s="23" customFormat="1" hidden="1" x14ac:dyDescent="0.35">
      <c r="B57" s="23" t="s">
        <v>251</v>
      </c>
      <c r="C57" s="23" t="str">
        <f>"TBN_"&amp;C54&amp;"_"&amp;C55</f>
        <v>TBN_weiblich_12_13</v>
      </c>
      <c r="D57" s="50"/>
      <c r="E57" s="50"/>
      <c r="F57" s="50"/>
      <c r="G57" s="50"/>
    </row>
    <row r="58" spans="1:8" s="23" customFormat="1" hidden="1" x14ac:dyDescent="0.35">
      <c r="C58" s="23" t="str">
        <f>C57&amp;"[Beschreibung]"</f>
        <v>TBN_weiblich_12_13[Beschreibung]</v>
      </c>
      <c r="D58" s="50"/>
      <c r="E58" s="50"/>
      <c r="F58" s="50"/>
      <c r="G58" s="50"/>
    </row>
    <row r="59" spans="1:8" s="23" customFormat="1" hidden="1" x14ac:dyDescent="0.35">
      <c r="D59" s="50"/>
      <c r="E59" s="50"/>
      <c r="F59" s="50"/>
      <c r="G59" s="50"/>
    </row>
    <row r="60" spans="1:8" s="23" customFormat="1" hidden="1" x14ac:dyDescent="0.35">
      <c r="B60" s="23" t="s">
        <v>147</v>
      </c>
      <c r="C60" s="23" t="str">
        <f>"TN_"&amp;C54&amp;"_"&amp;C55</f>
        <v>TN_weiblich_12_13</v>
      </c>
      <c r="D60" s="50"/>
      <c r="E60" s="50"/>
      <c r="F60" s="50"/>
      <c r="G60" s="50"/>
    </row>
    <row r="61" spans="1:8" s="23" customFormat="1" hidden="1" x14ac:dyDescent="0.35">
      <c r="C61" s="23" t="str">
        <f>C60&amp;"[Beschreibung]"</f>
        <v>TN_weiblich_12_13[Beschreibung]</v>
      </c>
      <c r="D61" s="50"/>
      <c r="E61" s="50"/>
      <c r="F61" s="50"/>
      <c r="G61" s="50"/>
    </row>
    <row r="62" spans="1:8" s="23" customFormat="1" hidden="1" x14ac:dyDescent="0.35">
      <c r="D62" s="50"/>
      <c r="E62" s="50"/>
      <c r="F62" s="50"/>
      <c r="G62" s="50"/>
    </row>
    <row r="63" spans="1:8" s="23" customFormat="1" hidden="1" x14ac:dyDescent="0.35">
      <c r="B63" s="23" t="s">
        <v>17</v>
      </c>
      <c r="C63" s="23" t="str">
        <f>"TV_"&amp;F1&amp;"_"&amp;C55</f>
        <v>TV_weiblich_12_13</v>
      </c>
      <c r="D63" s="50"/>
      <c r="E63" s="50"/>
      <c r="F63" s="50"/>
      <c r="G63" s="50"/>
    </row>
    <row r="64" spans="1:8" s="23" customFormat="1" hidden="1" x14ac:dyDescent="0.35">
      <c r="D64" s="50"/>
      <c r="E64" s="50"/>
      <c r="F64" s="50"/>
      <c r="G64" s="50"/>
    </row>
    <row r="65" spans="2:7" s="23" customFormat="1" hidden="1" x14ac:dyDescent="0.35">
      <c r="B65" s="23" t="s">
        <v>252</v>
      </c>
      <c r="C65" s="23" t="str">
        <f>"BKÜ"&amp;IF(H2=9,"_9",IF(H2&lt;12,"_10_11",IF(H2&lt;14,"_12_13",IF(H2&lt;17,"_14_16","_17"))))</f>
        <v>BKÜ_12_13</v>
      </c>
      <c r="D65" s="50"/>
      <c r="E65" s="50"/>
      <c r="F65" s="50"/>
      <c r="G65" s="50"/>
    </row>
    <row r="66" spans="2:7" s="23" customFormat="1" hidden="1" x14ac:dyDescent="0.35">
      <c r="D66" s="50"/>
      <c r="E66" s="50"/>
      <c r="F66" s="50"/>
      <c r="G66" s="50"/>
    </row>
    <row r="67" spans="2:7" s="23" customFormat="1" hidden="1" x14ac:dyDescent="0.35">
      <c r="B67" s="23" t="s">
        <v>250</v>
      </c>
      <c r="C67" s="23" t="str">
        <f>IF(H2&lt;17,"beide",F1)</f>
        <v>beide</v>
      </c>
      <c r="D67" s="50"/>
      <c r="E67" s="50"/>
      <c r="F67" s="50"/>
      <c r="G67" s="50"/>
    </row>
    <row r="68" spans="2:7" s="23" customFormat="1" hidden="1" x14ac:dyDescent="0.35">
      <c r="B68" s="23" t="s">
        <v>17</v>
      </c>
      <c r="C68" s="23" t="str">
        <f>"TV_"&amp;C67&amp;"_"&amp;C55</f>
        <v>TV_beide_12_13</v>
      </c>
      <c r="D68" s="50"/>
      <c r="E68" s="50"/>
      <c r="F68" s="50"/>
      <c r="G68" s="50"/>
    </row>
    <row r="69" spans="2:7" x14ac:dyDescent="0.35"/>
    <row r="70" spans="2:7" x14ac:dyDescent="0.35"/>
  </sheetData>
  <sheetProtection selectLockedCells="1"/>
  <protectedRanges>
    <protectedRange sqref="H1:H2 F1:F2 B1:B2" name="Athletendaten"/>
    <protectedRange sqref="F38:F49 C20:F35 D69:E440 C69:C441 F4:F8 C38:E68 C11:E16 F11:F17" name="Werte und Varianten"/>
    <protectedRange algorithmName="SHA-512" hashValue="EtPG7jm6pk6JVG08ToKZL4Sto4PS6TOUsygvFmj6DTfcGnX6DwKdfjTEg/2X1Hwnu/CwfNhBUSnXKs/oLqcupQ==" saltValue="sPse4fdTsI5OFESYvRIl8Q==" spinCount="100000" sqref="H4:H8 H38:H49 H20:H35 H11:H17" name="Punktzahlen"/>
  </protectedRanges>
  <mergeCells count="44">
    <mergeCell ref="A50:G50"/>
    <mergeCell ref="A51:G51"/>
    <mergeCell ref="A44:D44"/>
    <mergeCell ref="A45:D45"/>
    <mergeCell ref="A46:D46"/>
    <mergeCell ref="A47:D47"/>
    <mergeCell ref="A48:D48"/>
    <mergeCell ref="A49:D49"/>
    <mergeCell ref="A43:D43"/>
    <mergeCell ref="A32:B32"/>
    <mergeCell ref="A33:B33"/>
    <mergeCell ref="A34:B34"/>
    <mergeCell ref="A35:B35"/>
    <mergeCell ref="A36:G36"/>
    <mergeCell ref="A37:D37"/>
    <mergeCell ref="A38:D38"/>
    <mergeCell ref="A39:D39"/>
    <mergeCell ref="A40:D40"/>
    <mergeCell ref="A41:D41"/>
    <mergeCell ref="A42:D42"/>
    <mergeCell ref="A31:B31"/>
    <mergeCell ref="A13:E13"/>
    <mergeCell ref="A14:E14"/>
    <mergeCell ref="A15:E15"/>
    <mergeCell ref="A16:E16"/>
    <mergeCell ref="A18:G18"/>
    <mergeCell ref="A19:C19"/>
    <mergeCell ref="A20:B20"/>
    <mergeCell ref="A21:B21"/>
    <mergeCell ref="A22:B22"/>
    <mergeCell ref="A23:B23"/>
    <mergeCell ref="A30:B30"/>
    <mergeCell ref="A12:E12"/>
    <mergeCell ref="B1:E1"/>
    <mergeCell ref="B2:F2"/>
    <mergeCell ref="A3:E3"/>
    <mergeCell ref="A4:E4"/>
    <mergeCell ref="A5:E5"/>
    <mergeCell ref="A6:E6"/>
    <mergeCell ref="A7:E7"/>
    <mergeCell ref="A8:E8"/>
    <mergeCell ref="A9:G9"/>
    <mergeCell ref="A10:E10"/>
    <mergeCell ref="A11:E11"/>
  </mergeCells>
  <conditionalFormatting sqref="F46:F49">
    <cfRule type="expression" dxfId="187" priority="3">
      <formula>$A46=" "</formula>
    </cfRule>
  </conditionalFormatting>
  <conditionalFormatting sqref="B24:B29 C21:E29">
    <cfRule type="expression" dxfId="186" priority="2">
      <formula>$A21="entfällt"</formula>
    </cfRule>
    <cfRule type="expression" dxfId="185" priority="4">
      <formula>$H$2&gt;14</formula>
    </cfRule>
  </conditionalFormatting>
  <conditionalFormatting sqref="B24:B29">
    <cfRule type="expression" dxfId="184" priority="1">
      <formula>AND($A24="TN",$C24&lt;&gt;"")</formula>
    </cfRule>
  </conditionalFormatting>
  <dataValidations count="19">
    <dataValidation type="decimal" errorStyle="warning" allowBlank="1" showInputMessage="1" showErrorMessage="1" error="Eingegebener Abzug überschreitet maximal zulässigen Abzug, Wert bitte überprüfen!" sqref="F21:F35" xr:uid="{F98A4887-612D-459C-8D3C-55F8152CE468}">
      <formula1>0</formula1>
      <formula2>$E21</formula2>
    </dataValidation>
    <dataValidation type="list" allowBlank="1" showInputMessage="1" showErrorMessage="1" sqref="C20" xr:uid="{09B8B565-5451-4C6B-A320-7F46B564054D}">
      <formula1>"Lichtschranke,Druckmessplatte"</formula1>
    </dataValidation>
    <dataValidation type="whole" allowBlank="1" showInputMessage="1" showErrorMessage="1" errorTitle="Falsche Eingabe" error="Bitte Wert prüfen" sqref="D17" xr:uid="{BDF2C9A9-AFB7-4595-9C33-763B5022550A}">
      <formula1>1</formula1>
      <formula2>13</formula2>
    </dataValidation>
    <dataValidation type="list" allowBlank="1" showInputMessage="1" sqref="C24:C29" xr:uid="{40D6DC6D-B160-4620-968E-D55048E8C506}">
      <formula1>INDIRECT($C$61)</formula1>
    </dataValidation>
    <dataValidation type="list" allowBlank="1" showInputMessage="1" sqref="C21:C23" xr:uid="{5AD9DAF7-117D-4664-82EC-031630B36E09}">
      <formula1>INDIRECT($C$58)</formula1>
    </dataValidation>
    <dataValidation allowBlank="1" showInputMessage="1" showErrorMessage="1" prompt="Anzahl der Wiederholungen" sqref="F11" xr:uid="{76491E3A-5445-4F03-AB6D-47227C97E354}"/>
    <dataValidation type="whole" allowBlank="1" showInputMessage="1" showErrorMessage="1" prompt="Abstand von der Oberkante des Turnhockers zur schlechtesten Fingerspitze in cm" sqref="F6" xr:uid="{44E69024-D2C5-4F0A-9FEF-EA025A5E4EF3}">
      <formula1>-50</formula1>
      <formula2>50</formula2>
    </dataValidation>
    <dataValidation type="list" allowBlank="1" showInputMessage="1" showErrorMessage="1" prompt="Punktzahl nach Vergleich mit Bild" sqref="F5" xr:uid="{590DC5D7-9558-41C1-A3CD-E12F4DF72747}">
      <formula1>"0,2,6,10"</formula1>
    </dataValidation>
    <dataValidation type="whole" allowBlank="1" showErrorMessage="1" errorTitle="Falsche Eingabe" error="Bitte Wert prüfen" prompt="Höchste erreichte Stufe" sqref="F17" xr:uid="{E7516155-8496-4099-A1B3-F5340E73A621}">
      <formula1>1</formula1>
      <formula2>11</formula2>
    </dataValidation>
    <dataValidation allowBlank="1" sqref="D20:E20" xr:uid="{43C88486-0E2C-4A94-B4B4-7708D39B5F3C}"/>
    <dataValidation type="decimal" errorStyle="warning" allowBlank="1" showInputMessage="1" showErrorMessage="1" error="Abzug höher als Wert des Elements, bitte überprüfen!" prompt="Abzug" sqref="F38:F49" xr:uid="{79C162C1-9A9D-4A2D-9EC3-5A285B174C6B}">
      <formula1>0</formula1>
      <formula2>$E38</formula2>
    </dataValidation>
    <dataValidation type="whole" allowBlank="1" showInputMessage="1" showErrorMessage="1" prompt="AKs 9 - 13: Übersprungene Kästchen_x000a__x000a_AKs 14 - 21: Anzahl Saltos" sqref="F15" xr:uid="{E1EC5287-D7E7-44D7-B25E-AC09643D7AD8}">
      <formula1>0</formula1>
      <formula2>50</formula2>
    </dataValidation>
    <dataValidation type="list" allowBlank="1" showInputMessage="1" showErrorMessage="1" sqref="F1" xr:uid="{B736B075-FC3A-4780-B874-06A34B281441}">
      <formula1>"männlich,weiblich"</formula1>
    </dataValidation>
    <dataValidation type="whole" allowBlank="1" showInputMessage="1" showErrorMessage="1" sqref="H4:H8" xr:uid="{D2584331-7F58-49A5-9006-B6DA2666CCBF}">
      <formula1>0</formula1>
      <formula2>10</formula2>
    </dataValidation>
    <dataValidation type="whole" allowBlank="1" showInputMessage="1" showErrorMessage="1" prompt="Haltezeit in Sekunden" sqref="F13" xr:uid="{842745A1-5702-412F-9D4F-BEEF22CC93FB}">
      <formula1>0</formula1>
      <formula2>200</formula2>
    </dataValidation>
    <dataValidation type="whole" allowBlank="1" showInputMessage="1" showErrorMessage="1" prompt="Haltezeit in Sekunden" sqref="F16" xr:uid="{1F603093-3149-4EE4-994F-6E292F97AF7A}">
      <formula1>0</formula1>
      <formula2>100</formula2>
    </dataValidation>
    <dataValidation type="whole" allowBlank="1" showInputMessage="1" showErrorMessage="1" prompt="Anzahl der Wiederholungen" sqref="F14 F12" xr:uid="{B57FBB4E-C39B-401B-B375-B9FB9C8E897B}">
      <formula1>0</formula1>
      <formula2>50</formula2>
    </dataValidation>
    <dataValidation type="list" operator="equal" allowBlank="1" showInputMessage="1" showErrorMessage="1" prompt="Punktzahl nach Vergleich mit Bild" sqref="F4" xr:uid="{21E2B8FA-9926-4755-8832-879D8733B517}">
      <formula1>"0,2,6,10"</formula1>
    </dataValidation>
    <dataValidation type="decimal" errorStyle="warning" showDropDown="1" showErrorMessage="1" error="Wert unrealistisch hoch, bitte Eingabe überprüfen" promptTitle="Vorsicht" sqref="F20" xr:uid="{A41E5787-6137-4354-B1EA-8679D6199000}">
      <formula1>0</formula1>
      <formula2>30</formula2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Bitte Werte aus Dropdown auswählen" prompt="Abstand vom Boden laut Schablone" xr:uid="{77A1C260-CF90-4CB5-BB7D-12E82ABC89F4}">
          <x14:formula1>
            <xm:f>Punktetabellen!$A$3:$A$6</xm:f>
          </x14:formula1>
          <xm:sqref>F7:F8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tabColor rgb="FF7030A0"/>
  </sheetPr>
  <dimension ref="A1:T237"/>
  <sheetViews>
    <sheetView topLeftCell="A17" zoomScale="85" zoomScaleNormal="85" workbookViewId="0">
      <selection activeCell="O91" sqref="O91"/>
    </sheetView>
  </sheetViews>
  <sheetFormatPr baseColWidth="10" defaultRowHeight="14.5" x14ac:dyDescent="0.35"/>
  <cols>
    <col min="1" max="1" width="17.81640625" customWidth="1"/>
    <col min="2" max="20" width="11.1796875" customWidth="1"/>
  </cols>
  <sheetData>
    <row r="1" spans="1:2" ht="15" thickBot="1" x14ac:dyDescent="0.4">
      <c r="A1" s="216" t="s">
        <v>80</v>
      </c>
      <c r="B1" s="217"/>
    </row>
    <row r="2" spans="1:2" ht="15" thickBot="1" x14ac:dyDescent="0.4">
      <c r="A2" s="6" t="s">
        <v>79</v>
      </c>
      <c r="B2" s="6" t="s">
        <v>29</v>
      </c>
    </row>
    <row r="3" spans="1:2" x14ac:dyDescent="0.35">
      <c r="A3" s="3">
        <v>0</v>
      </c>
      <c r="B3" s="15">
        <v>5</v>
      </c>
    </row>
    <row r="4" spans="1:2" x14ac:dyDescent="0.35">
      <c r="A4" s="4" t="s">
        <v>86</v>
      </c>
      <c r="B4" s="121">
        <v>4</v>
      </c>
    </row>
    <row r="5" spans="1:2" x14ac:dyDescent="0.35">
      <c r="A5" s="4" t="s">
        <v>87</v>
      </c>
      <c r="B5" s="121">
        <v>3</v>
      </c>
    </row>
    <row r="6" spans="1:2" ht="15" thickBot="1" x14ac:dyDescent="0.4">
      <c r="A6" s="4" t="s">
        <v>338</v>
      </c>
      <c r="B6" s="122">
        <v>2</v>
      </c>
    </row>
    <row r="7" spans="1:2" ht="15" thickBot="1" x14ac:dyDescent="0.4"/>
    <row r="8" spans="1:2" ht="15" thickBot="1" x14ac:dyDescent="0.4">
      <c r="A8" s="216" t="s">
        <v>33</v>
      </c>
      <c r="B8" s="217"/>
    </row>
    <row r="9" spans="1:2" ht="15" thickBot="1" x14ac:dyDescent="0.4">
      <c r="A9" s="7" t="s">
        <v>81</v>
      </c>
      <c r="B9" s="8" t="s">
        <v>29</v>
      </c>
    </row>
    <row r="10" spans="1:2" x14ac:dyDescent="0.35">
      <c r="A10" s="3">
        <v>-50</v>
      </c>
      <c r="B10" s="123">
        <v>0</v>
      </c>
    </row>
    <row r="11" spans="1:2" x14ac:dyDescent="0.35">
      <c r="A11" s="4">
        <v>12</v>
      </c>
      <c r="B11" s="124">
        <v>2</v>
      </c>
    </row>
    <row r="12" spans="1:2" x14ac:dyDescent="0.35">
      <c r="A12" s="4">
        <v>14</v>
      </c>
      <c r="B12" s="124">
        <v>4</v>
      </c>
    </row>
    <row r="13" spans="1:2" x14ac:dyDescent="0.35">
      <c r="A13" s="4">
        <v>16</v>
      </c>
      <c r="B13" s="124">
        <v>6</v>
      </c>
    </row>
    <row r="14" spans="1:2" x14ac:dyDescent="0.35">
      <c r="A14" s="4">
        <v>18</v>
      </c>
      <c r="B14" s="124">
        <v>8</v>
      </c>
    </row>
    <row r="15" spans="1:2" ht="15" thickBot="1" x14ac:dyDescent="0.4">
      <c r="A15" s="5">
        <v>20</v>
      </c>
      <c r="B15" s="125">
        <v>10</v>
      </c>
    </row>
    <row r="16" spans="1:2" ht="15" thickBot="1" x14ac:dyDescent="0.4"/>
    <row r="17" spans="1:20" x14ac:dyDescent="0.35">
      <c r="A17" s="213" t="s">
        <v>37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5"/>
    </row>
    <row r="18" spans="1:20" ht="15" thickBot="1" x14ac:dyDescent="0.4">
      <c r="A18" s="126" t="s">
        <v>346</v>
      </c>
      <c r="B18" s="127" t="s">
        <v>286</v>
      </c>
      <c r="C18" s="127" t="s">
        <v>287</v>
      </c>
      <c r="D18" s="127" t="s">
        <v>288</v>
      </c>
      <c r="E18" s="127" t="s">
        <v>289</v>
      </c>
      <c r="F18" s="127" t="s">
        <v>290</v>
      </c>
      <c r="G18" s="127" t="s">
        <v>291</v>
      </c>
      <c r="H18" s="127" t="s">
        <v>292</v>
      </c>
      <c r="I18" s="127" t="s">
        <v>293</v>
      </c>
      <c r="J18" s="127" t="s">
        <v>294</v>
      </c>
      <c r="K18" s="127" t="s">
        <v>295</v>
      </c>
      <c r="L18" s="127" t="s">
        <v>296</v>
      </c>
      <c r="M18" s="127" t="s">
        <v>297</v>
      </c>
      <c r="N18" s="127" t="s">
        <v>298</v>
      </c>
      <c r="O18" s="127" t="s">
        <v>299</v>
      </c>
      <c r="P18" s="127" t="s">
        <v>300</v>
      </c>
      <c r="Q18" s="127" t="s">
        <v>301</v>
      </c>
      <c r="R18" s="127" t="s">
        <v>302</v>
      </c>
      <c r="S18" s="127" t="s">
        <v>303</v>
      </c>
      <c r="T18" s="128" t="s">
        <v>304</v>
      </c>
    </row>
    <row r="19" spans="1:20" x14ac:dyDescent="0.35">
      <c r="A19" s="123">
        <v>0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29">
        <v>0</v>
      </c>
    </row>
    <row r="20" spans="1:20" x14ac:dyDescent="0.35">
      <c r="A20" s="130">
        <v>1</v>
      </c>
      <c r="B20" s="131">
        <v>0</v>
      </c>
      <c r="C20" s="131">
        <v>0</v>
      </c>
      <c r="D20" s="131">
        <v>0</v>
      </c>
      <c r="E20" s="131">
        <v>0</v>
      </c>
      <c r="F20" s="131">
        <v>0</v>
      </c>
      <c r="G20" s="131">
        <v>0</v>
      </c>
      <c r="H20" s="131">
        <v>0</v>
      </c>
      <c r="I20" s="131">
        <v>1</v>
      </c>
      <c r="J20" s="131">
        <v>1</v>
      </c>
      <c r="K20" s="131">
        <v>1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>
        <v>0</v>
      </c>
      <c r="T20" s="132">
        <v>0</v>
      </c>
    </row>
    <row r="21" spans="1:20" x14ac:dyDescent="0.35">
      <c r="A21" s="130">
        <v>2</v>
      </c>
      <c r="B21" s="131">
        <v>0</v>
      </c>
      <c r="C21" s="131">
        <v>0</v>
      </c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131">
        <v>2</v>
      </c>
      <c r="J21" s="131">
        <v>2</v>
      </c>
      <c r="K21" s="131">
        <v>2</v>
      </c>
      <c r="L21" s="131">
        <v>1</v>
      </c>
      <c r="M21" s="131">
        <v>1</v>
      </c>
      <c r="N21" s="131">
        <v>1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2">
        <v>0</v>
      </c>
    </row>
    <row r="22" spans="1:20" x14ac:dyDescent="0.35">
      <c r="A22" s="130">
        <v>3</v>
      </c>
      <c r="B22" s="131">
        <v>0</v>
      </c>
      <c r="C22" s="131">
        <v>0</v>
      </c>
      <c r="D22" s="131">
        <v>0</v>
      </c>
      <c r="E22" s="131">
        <v>0</v>
      </c>
      <c r="F22" s="131">
        <v>0</v>
      </c>
      <c r="G22" s="131">
        <v>0</v>
      </c>
      <c r="H22" s="131">
        <v>0</v>
      </c>
      <c r="I22" s="131">
        <v>3</v>
      </c>
      <c r="J22" s="131">
        <v>3</v>
      </c>
      <c r="K22" s="131">
        <v>3</v>
      </c>
      <c r="L22" s="131">
        <v>2</v>
      </c>
      <c r="M22" s="131">
        <v>2</v>
      </c>
      <c r="N22" s="131">
        <v>2</v>
      </c>
      <c r="O22" s="131">
        <v>0</v>
      </c>
      <c r="P22" s="131">
        <v>0</v>
      </c>
      <c r="Q22" s="131">
        <v>0</v>
      </c>
      <c r="R22" s="131">
        <v>0</v>
      </c>
      <c r="S22" s="131">
        <v>0</v>
      </c>
      <c r="T22" s="132">
        <v>0</v>
      </c>
    </row>
    <row r="23" spans="1:20" x14ac:dyDescent="0.35">
      <c r="A23" s="130">
        <v>4</v>
      </c>
      <c r="B23" s="131">
        <v>0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1">
        <v>4</v>
      </c>
      <c r="J23" s="131">
        <v>4</v>
      </c>
      <c r="K23" s="131">
        <v>4</v>
      </c>
      <c r="L23" s="131">
        <v>3</v>
      </c>
      <c r="M23" s="131">
        <v>3</v>
      </c>
      <c r="N23" s="131">
        <v>3</v>
      </c>
      <c r="O23" s="131">
        <v>1</v>
      </c>
      <c r="P23" s="131">
        <v>1</v>
      </c>
      <c r="Q23" s="131">
        <v>0</v>
      </c>
      <c r="R23" s="131">
        <v>0</v>
      </c>
      <c r="S23" s="131">
        <v>0</v>
      </c>
      <c r="T23" s="132">
        <v>0</v>
      </c>
    </row>
    <row r="24" spans="1:20" x14ac:dyDescent="0.35">
      <c r="A24" s="130">
        <v>5</v>
      </c>
      <c r="B24" s="131">
        <v>0</v>
      </c>
      <c r="C24" s="131">
        <v>0</v>
      </c>
      <c r="D24" s="131">
        <v>0</v>
      </c>
      <c r="E24" s="131">
        <v>0</v>
      </c>
      <c r="F24" s="131">
        <v>0</v>
      </c>
      <c r="G24" s="131">
        <v>0</v>
      </c>
      <c r="H24" s="131">
        <v>0</v>
      </c>
      <c r="I24" s="131">
        <v>5</v>
      </c>
      <c r="J24" s="131">
        <v>5</v>
      </c>
      <c r="K24" s="131">
        <v>5</v>
      </c>
      <c r="L24" s="131">
        <v>4</v>
      </c>
      <c r="M24" s="131">
        <v>4</v>
      </c>
      <c r="N24" s="131">
        <v>4</v>
      </c>
      <c r="O24" s="131">
        <v>2</v>
      </c>
      <c r="P24" s="131">
        <v>2</v>
      </c>
      <c r="Q24" s="131">
        <v>0</v>
      </c>
      <c r="R24" s="131">
        <v>0</v>
      </c>
      <c r="S24" s="131">
        <v>0</v>
      </c>
      <c r="T24" s="132">
        <v>0</v>
      </c>
    </row>
    <row r="25" spans="1:20" x14ac:dyDescent="0.35">
      <c r="A25" s="130">
        <v>6</v>
      </c>
      <c r="B25" s="131">
        <v>0</v>
      </c>
      <c r="C25" s="131">
        <v>0</v>
      </c>
      <c r="D25" s="131">
        <v>0</v>
      </c>
      <c r="E25" s="131">
        <v>0</v>
      </c>
      <c r="F25" s="131">
        <v>0</v>
      </c>
      <c r="G25" s="131">
        <v>0</v>
      </c>
      <c r="H25" s="131">
        <v>0</v>
      </c>
      <c r="I25" s="131">
        <v>6</v>
      </c>
      <c r="J25" s="131">
        <v>6</v>
      </c>
      <c r="K25" s="131">
        <v>6</v>
      </c>
      <c r="L25" s="131">
        <v>5</v>
      </c>
      <c r="M25" s="131">
        <v>5</v>
      </c>
      <c r="N25" s="131">
        <v>5</v>
      </c>
      <c r="O25" s="131">
        <v>3</v>
      </c>
      <c r="P25" s="131">
        <v>3</v>
      </c>
      <c r="Q25" s="131">
        <v>1</v>
      </c>
      <c r="R25" s="131">
        <v>1</v>
      </c>
      <c r="S25" s="131">
        <v>1</v>
      </c>
      <c r="T25" s="132">
        <v>1</v>
      </c>
    </row>
    <row r="26" spans="1:20" x14ac:dyDescent="0.35">
      <c r="A26" s="130">
        <v>7</v>
      </c>
      <c r="B26" s="131">
        <v>0</v>
      </c>
      <c r="C26" s="131">
        <v>0</v>
      </c>
      <c r="D26" s="131">
        <v>0</v>
      </c>
      <c r="E26" s="131">
        <v>0</v>
      </c>
      <c r="F26" s="131">
        <v>0</v>
      </c>
      <c r="G26" s="131">
        <v>0</v>
      </c>
      <c r="H26" s="131">
        <v>0</v>
      </c>
      <c r="I26" s="131">
        <v>7</v>
      </c>
      <c r="J26" s="131">
        <v>7</v>
      </c>
      <c r="K26" s="131">
        <v>7</v>
      </c>
      <c r="L26" s="131">
        <v>6</v>
      </c>
      <c r="M26" s="131">
        <v>6</v>
      </c>
      <c r="N26" s="131">
        <v>6</v>
      </c>
      <c r="O26" s="131">
        <v>4</v>
      </c>
      <c r="P26" s="131">
        <v>4</v>
      </c>
      <c r="Q26" s="131">
        <v>2</v>
      </c>
      <c r="R26" s="131">
        <v>2</v>
      </c>
      <c r="S26" s="131">
        <v>2</v>
      </c>
      <c r="T26" s="132">
        <v>2</v>
      </c>
    </row>
    <row r="27" spans="1:20" x14ac:dyDescent="0.35">
      <c r="A27" s="130">
        <v>8</v>
      </c>
      <c r="B27" s="131">
        <v>0</v>
      </c>
      <c r="C27" s="131">
        <v>0</v>
      </c>
      <c r="D27" s="131">
        <v>0</v>
      </c>
      <c r="E27" s="131">
        <v>0</v>
      </c>
      <c r="F27" s="131">
        <v>0</v>
      </c>
      <c r="G27" s="131">
        <v>0</v>
      </c>
      <c r="H27" s="131">
        <v>0</v>
      </c>
      <c r="I27" s="131">
        <v>8</v>
      </c>
      <c r="J27" s="131">
        <v>8</v>
      </c>
      <c r="K27" s="131">
        <v>8</v>
      </c>
      <c r="L27" s="131">
        <v>7</v>
      </c>
      <c r="M27" s="131">
        <v>7</v>
      </c>
      <c r="N27" s="131">
        <v>7</v>
      </c>
      <c r="O27" s="131">
        <v>5</v>
      </c>
      <c r="P27" s="131">
        <v>5</v>
      </c>
      <c r="Q27" s="131">
        <v>3</v>
      </c>
      <c r="R27" s="131">
        <v>3</v>
      </c>
      <c r="S27" s="131">
        <v>3</v>
      </c>
      <c r="T27" s="132">
        <v>3</v>
      </c>
    </row>
    <row r="28" spans="1:20" x14ac:dyDescent="0.35">
      <c r="A28" s="130">
        <v>9</v>
      </c>
      <c r="B28" s="131">
        <v>0</v>
      </c>
      <c r="C28" s="131">
        <v>0</v>
      </c>
      <c r="D28" s="131">
        <v>0</v>
      </c>
      <c r="E28" s="131">
        <v>0</v>
      </c>
      <c r="F28" s="131">
        <v>0</v>
      </c>
      <c r="G28" s="131">
        <v>0</v>
      </c>
      <c r="H28" s="131">
        <v>0</v>
      </c>
      <c r="I28" s="131">
        <v>9</v>
      </c>
      <c r="J28" s="131">
        <v>9</v>
      </c>
      <c r="K28" s="131">
        <v>9</v>
      </c>
      <c r="L28" s="131">
        <v>8</v>
      </c>
      <c r="M28" s="131">
        <v>8</v>
      </c>
      <c r="N28" s="131">
        <v>8</v>
      </c>
      <c r="O28" s="131">
        <v>6</v>
      </c>
      <c r="P28" s="131">
        <v>6</v>
      </c>
      <c r="Q28" s="131">
        <v>4</v>
      </c>
      <c r="R28" s="131">
        <v>4</v>
      </c>
      <c r="S28" s="131">
        <v>4</v>
      </c>
      <c r="T28" s="132">
        <v>4</v>
      </c>
    </row>
    <row r="29" spans="1:20" x14ac:dyDescent="0.35">
      <c r="A29" s="130">
        <v>10</v>
      </c>
      <c r="B29" s="131">
        <v>0</v>
      </c>
      <c r="C29" s="131">
        <v>0</v>
      </c>
      <c r="D29" s="131">
        <v>0</v>
      </c>
      <c r="E29" s="131">
        <v>0</v>
      </c>
      <c r="F29" s="131">
        <v>0</v>
      </c>
      <c r="G29" s="131">
        <v>0</v>
      </c>
      <c r="H29" s="131">
        <v>0</v>
      </c>
      <c r="I29" s="131">
        <v>10</v>
      </c>
      <c r="J29" s="131">
        <v>10</v>
      </c>
      <c r="K29" s="131">
        <v>10</v>
      </c>
      <c r="L29" s="131">
        <v>9</v>
      </c>
      <c r="M29" s="131">
        <v>9</v>
      </c>
      <c r="N29" s="131">
        <v>9</v>
      </c>
      <c r="O29" s="131">
        <v>7</v>
      </c>
      <c r="P29" s="131">
        <v>7</v>
      </c>
      <c r="Q29" s="131">
        <v>5</v>
      </c>
      <c r="R29" s="131">
        <v>5</v>
      </c>
      <c r="S29" s="131">
        <v>5</v>
      </c>
      <c r="T29" s="132">
        <v>5</v>
      </c>
    </row>
    <row r="30" spans="1:20" x14ac:dyDescent="0.35">
      <c r="A30" s="130">
        <v>11</v>
      </c>
      <c r="B30" s="131">
        <v>0</v>
      </c>
      <c r="C30" s="131">
        <v>0</v>
      </c>
      <c r="D30" s="131">
        <v>0</v>
      </c>
      <c r="E30" s="131">
        <v>0</v>
      </c>
      <c r="F30" s="131">
        <v>0</v>
      </c>
      <c r="G30" s="131">
        <v>0</v>
      </c>
      <c r="H30" s="131">
        <v>0</v>
      </c>
      <c r="I30" s="131">
        <v>10</v>
      </c>
      <c r="J30" s="131">
        <v>10</v>
      </c>
      <c r="K30" s="131">
        <v>10</v>
      </c>
      <c r="L30" s="131">
        <v>9</v>
      </c>
      <c r="M30" s="131">
        <v>9</v>
      </c>
      <c r="N30" s="131">
        <v>9</v>
      </c>
      <c r="O30" s="131">
        <v>8</v>
      </c>
      <c r="P30" s="131">
        <v>8</v>
      </c>
      <c r="Q30" s="131">
        <v>6</v>
      </c>
      <c r="R30" s="131">
        <v>6</v>
      </c>
      <c r="S30" s="131">
        <v>6</v>
      </c>
      <c r="T30" s="132">
        <v>6</v>
      </c>
    </row>
    <row r="31" spans="1:20" ht="15" customHeight="1" x14ac:dyDescent="0.35">
      <c r="A31" s="130">
        <v>12</v>
      </c>
      <c r="B31" s="121">
        <v>0</v>
      </c>
      <c r="C31" s="121">
        <v>0</v>
      </c>
      <c r="D31" s="121">
        <v>0</v>
      </c>
      <c r="E31" s="121">
        <v>0</v>
      </c>
      <c r="F31" s="121">
        <v>0</v>
      </c>
      <c r="G31" s="121">
        <v>0</v>
      </c>
      <c r="H31" s="121">
        <v>1</v>
      </c>
      <c r="I31" s="121">
        <v>10</v>
      </c>
      <c r="J31" s="121">
        <v>10</v>
      </c>
      <c r="K31" s="121">
        <v>10</v>
      </c>
      <c r="L31" s="121">
        <v>10</v>
      </c>
      <c r="M31" s="121">
        <v>10</v>
      </c>
      <c r="N31" s="121">
        <v>10</v>
      </c>
      <c r="O31" s="121">
        <v>9</v>
      </c>
      <c r="P31" s="121">
        <v>9</v>
      </c>
      <c r="Q31" s="121">
        <v>7</v>
      </c>
      <c r="R31" s="121">
        <v>7</v>
      </c>
      <c r="S31" s="121">
        <v>7</v>
      </c>
      <c r="T31" s="133">
        <v>7</v>
      </c>
    </row>
    <row r="32" spans="1:20" x14ac:dyDescent="0.35">
      <c r="A32" s="130">
        <v>13</v>
      </c>
      <c r="B32" s="121">
        <v>0</v>
      </c>
      <c r="C32" s="121">
        <v>0</v>
      </c>
      <c r="D32" s="121">
        <v>0</v>
      </c>
      <c r="E32" s="121">
        <v>0</v>
      </c>
      <c r="F32" s="121">
        <v>0</v>
      </c>
      <c r="G32" s="121">
        <v>0</v>
      </c>
      <c r="H32" s="121">
        <v>1</v>
      </c>
      <c r="I32" s="121">
        <v>10</v>
      </c>
      <c r="J32" s="121">
        <v>10</v>
      </c>
      <c r="K32" s="121">
        <v>10</v>
      </c>
      <c r="L32" s="121">
        <v>10</v>
      </c>
      <c r="M32" s="121">
        <v>10</v>
      </c>
      <c r="N32" s="121">
        <v>10</v>
      </c>
      <c r="O32" s="121">
        <v>10</v>
      </c>
      <c r="P32" s="121">
        <v>10</v>
      </c>
      <c r="Q32" s="121">
        <v>8</v>
      </c>
      <c r="R32" s="121">
        <v>8</v>
      </c>
      <c r="S32" s="121">
        <v>8</v>
      </c>
      <c r="T32" s="133">
        <v>8</v>
      </c>
    </row>
    <row r="33" spans="1:20" x14ac:dyDescent="0.35">
      <c r="A33" s="130">
        <v>14</v>
      </c>
      <c r="B33" s="121">
        <v>0</v>
      </c>
      <c r="C33" s="121">
        <v>0</v>
      </c>
      <c r="D33" s="121">
        <v>0</v>
      </c>
      <c r="E33" s="121">
        <v>0</v>
      </c>
      <c r="F33" s="121">
        <v>0</v>
      </c>
      <c r="G33" s="121">
        <v>0</v>
      </c>
      <c r="H33" s="121">
        <v>2</v>
      </c>
      <c r="I33" s="121">
        <v>10</v>
      </c>
      <c r="J33" s="121">
        <v>10</v>
      </c>
      <c r="K33" s="121">
        <v>10</v>
      </c>
      <c r="L33" s="121">
        <v>10</v>
      </c>
      <c r="M33" s="121">
        <v>10</v>
      </c>
      <c r="N33" s="121">
        <v>10</v>
      </c>
      <c r="O33" s="121">
        <v>10</v>
      </c>
      <c r="P33" s="121">
        <v>10</v>
      </c>
      <c r="Q33" s="121">
        <v>9</v>
      </c>
      <c r="R33" s="121">
        <v>9</v>
      </c>
      <c r="S33" s="121">
        <v>9</v>
      </c>
      <c r="T33" s="133">
        <v>9</v>
      </c>
    </row>
    <row r="34" spans="1:20" ht="15" customHeight="1" x14ac:dyDescent="0.35">
      <c r="A34" s="130">
        <v>15</v>
      </c>
      <c r="B34" s="121">
        <v>0</v>
      </c>
      <c r="C34" s="121">
        <v>0</v>
      </c>
      <c r="D34" s="121">
        <v>0</v>
      </c>
      <c r="E34" s="121">
        <v>0</v>
      </c>
      <c r="F34" s="121">
        <v>0</v>
      </c>
      <c r="G34" s="121">
        <v>0</v>
      </c>
      <c r="H34" s="121">
        <v>2</v>
      </c>
      <c r="I34" s="121">
        <v>10</v>
      </c>
      <c r="J34" s="121">
        <v>10</v>
      </c>
      <c r="K34" s="121">
        <v>10</v>
      </c>
      <c r="L34" s="121">
        <v>10</v>
      </c>
      <c r="M34" s="121">
        <v>10</v>
      </c>
      <c r="N34" s="121">
        <v>10</v>
      </c>
      <c r="O34" s="121">
        <v>10</v>
      </c>
      <c r="P34" s="121">
        <v>10</v>
      </c>
      <c r="Q34" s="121">
        <v>10</v>
      </c>
      <c r="R34" s="121">
        <v>10</v>
      </c>
      <c r="S34" s="121">
        <v>10</v>
      </c>
      <c r="T34" s="133">
        <v>10</v>
      </c>
    </row>
    <row r="35" spans="1:20" x14ac:dyDescent="0.35">
      <c r="A35" s="130">
        <v>16</v>
      </c>
      <c r="B35" s="121">
        <v>0</v>
      </c>
      <c r="C35" s="121">
        <v>0</v>
      </c>
      <c r="D35" s="121">
        <v>0</v>
      </c>
      <c r="E35" s="121">
        <v>0</v>
      </c>
      <c r="F35" s="121">
        <v>0</v>
      </c>
      <c r="G35" s="121">
        <v>0</v>
      </c>
      <c r="H35" s="121">
        <v>3</v>
      </c>
      <c r="I35" s="121">
        <v>10</v>
      </c>
      <c r="J35" s="121">
        <v>10</v>
      </c>
      <c r="K35" s="121">
        <v>10</v>
      </c>
      <c r="L35" s="121">
        <v>10</v>
      </c>
      <c r="M35" s="121">
        <v>10</v>
      </c>
      <c r="N35" s="121">
        <v>10</v>
      </c>
      <c r="O35" s="121">
        <v>10</v>
      </c>
      <c r="P35" s="121">
        <v>10</v>
      </c>
      <c r="Q35" s="121">
        <v>10</v>
      </c>
      <c r="R35" s="121">
        <v>10</v>
      </c>
      <c r="S35" s="121">
        <v>10</v>
      </c>
      <c r="T35" s="133">
        <v>10</v>
      </c>
    </row>
    <row r="36" spans="1:20" x14ac:dyDescent="0.35">
      <c r="A36" s="130">
        <v>17</v>
      </c>
      <c r="B36" s="121">
        <v>0</v>
      </c>
      <c r="C36" s="121">
        <v>0</v>
      </c>
      <c r="D36" s="121">
        <v>0</v>
      </c>
      <c r="E36" s="121">
        <v>0</v>
      </c>
      <c r="F36" s="121">
        <v>0</v>
      </c>
      <c r="G36" s="121">
        <v>0</v>
      </c>
      <c r="H36" s="121">
        <v>3</v>
      </c>
      <c r="I36" s="121">
        <v>10</v>
      </c>
      <c r="J36" s="121">
        <v>10</v>
      </c>
      <c r="K36" s="121">
        <v>10</v>
      </c>
      <c r="L36" s="121">
        <v>10</v>
      </c>
      <c r="M36" s="121">
        <v>10</v>
      </c>
      <c r="N36" s="121">
        <v>10</v>
      </c>
      <c r="O36" s="121">
        <v>10</v>
      </c>
      <c r="P36" s="121">
        <v>10</v>
      </c>
      <c r="Q36" s="121">
        <v>10</v>
      </c>
      <c r="R36" s="121">
        <v>10</v>
      </c>
      <c r="S36" s="121">
        <v>10</v>
      </c>
      <c r="T36" s="133">
        <v>10</v>
      </c>
    </row>
    <row r="37" spans="1:20" ht="15" customHeight="1" x14ac:dyDescent="0.35">
      <c r="A37" s="130">
        <v>18</v>
      </c>
      <c r="B37" s="121">
        <v>0</v>
      </c>
      <c r="C37" s="121">
        <v>0</v>
      </c>
      <c r="D37" s="121">
        <v>0</v>
      </c>
      <c r="E37" s="121">
        <v>0</v>
      </c>
      <c r="F37" s="121">
        <v>0</v>
      </c>
      <c r="G37" s="121">
        <v>0</v>
      </c>
      <c r="H37" s="121">
        <v>4</v>
      </c>
      <c r="I37" s="121">
        <v>10</v>
      </c>
      <c r="J37" s="121">
        <v>10</v>
      </c>
      <c r="K37" s="121">
        <v>10</v>
      </c>
      <c r="L37" s="121">
        <v>10</v>
      </c>
      <c r="M37" s="121">
        <v>10</v>
      </c>
      <c r="N37" s="121">
        <v>10</v>
      </c>
      <c r="O37" s="121">
        <v>10</v>
      </c>
      <c r="P37" s="121">
        <v>10</v>
      </c>
      <c r="Q37" s="121">
        <v>10</v>
      </c>
      <c r="R37" s="121">
        <v>10</v>
      </c>
      <c r="S37" s="121">
        <v>10</v>
      </c>
      <c r="T37" s="133">
        <v>10</v>
      </c>
    </row>
    <row r="38" spans="1:20" x14ac:dyDescent="0.35">
      <c r="A38" s="130">
        <v>19</v>
      </c>
      <c r="B38" s="121">
        <v>0</v>
      </c>
      <c r="C38" s="121">
        <v>0</v>
      </c>
      <c r="D38" s="121">
        <v>0</v>
      </c>
      <c r="E38" s="121">
        <v>0</v>
      </c>
      <c r="F38" s="121">
        <v>0</v>
      </c>
      <c r="G38" s="121">
        <v>0</v>
      </c>
      <c r="H38" s="121">
        <v>4</v>
      </c>
      <c r="I38" s="121">
        <v>10</v>
      </c>
      <c r="J38" s="121">
        <v>10</v>
      </c>
      <c r="K38" s="121">
        <v>10</v>
      </c>
      <c r="L38" s="121">
        <v>10</v>
      </c>
      <c r="M38" s="121">
        <v>10</v>
      </c>
      <c r="N38" s="121">
        <v>10</v>
      </c>
      <c r="O38" s="121">
        <v>10</v>
      </c>
      <c r="P38" s="121">
        <v>10</v>
      </c>
      <c r="Q38" s="121">
        <v>10</v>
      </c>
      <c r="R38" s="121">
        <v>10</v>
      </c>
      <c r="S38" s="121">
        <v>10</v>
      </c>
      <c r="T38" s="133">
        <v>10</v>
      </c>
    </row>
    <row r="39" spans="1:20" ht="15" customHeight="1" x14ac:dyDescent="0.35">
      <c r="A39" s="130">
        <v>20</v>
      </c>
      <c r="B39" s="121">
        <v>0</v>
      </c>
      <c r="C39" s="121">
        <v>0</v>
      </c>
      <c r="D39" s="121">
        <v>0</v>
      </c>
      <c r="E39" s="121">
        <v>0</v>
      </c>
      <c r="F39" s="121">
        <v>0</v>
      </c>
      <c r="G39" s="121">
        <v>0</v>
      </c>
      <c r="H39" s="121">
        <v>5</v>
      </c>
      <c r="I39" s="121">
        <v>10</v>
      </c>
      <c r="J39" s="121">
        <v>10</v>
      </c>
      <c r="K39" s="121">
        <v>10</v>
      </c>
      <c r="L39" s="121">
        <v>10</v>
      </c>
      <c r="M39" s="121">
        <v>10</v>
      </c>
      <c r="N39" s="121">
        <v>10</v>
      </c>
      <c r="O39" s="121">
        <v>10</v>
      </c>
      <c r="P39" s="121">
        <v>10</v>
      </c>
      <c r="Q39" s="121">
        <v>10</v>
      </c>
      <c r="R39" s="121">
        <v>10</v>
      </c>
      <c r="S39" s="121">
        <v>10</v>
      </c>
      <c r="T39" s="133">
        <v>10</v>
      </c>
    </row>
    <row r="40" spans="1:20" x14ac:dyDescent="0.35">
      <c r="A40" s="130">
        <v>21</v>
      </c>
      <c r="B40" s="121">
        <v>0</v>
      </c>
      <c r="C40" s="121">
        <v>0</v>
      </c>
      <c r="D40" s="121">
        <v>0</v>
      </c>
      <c r="E40" s="121">
        <v>0</v>
      </c>
      <c r="F40" s="121">
        <v>0</v>
      </c>
      <c r="G40" s="121">
        <v>0</v>
      </c>
      <c r="H40" s="121">
        <v>5</v>
      </c>
      <c r="I40" s="121">
        <v>10</v>
      </c>
      <c r="J40" s="121">
        <v>10</v>
      </c>
      <c r="K40" s="121">
        <v>10</v>
      </c>
      <c r="L40" s="121">
        <v>10</v>
      </c>
      <c r="M40" s="121">
        <v>10</v>
      </c>
      <c r="N40" s="121">
        <v>10</v>
      </c>
      <c r="O40" s="121">
        <v>10</v>
      </c>
      <c r="P40" s="121">
        <v>10</v>
      </c>
      <c r="Q40" s="121">
        <v>10</v>
      </c>
      <c r="R40" s="121">
        <v>10</v>
      </c>
      <c r="S40" s="121">
        <v>10</v>
      </c>
      <c r="T40" s="133">
        <v>10</v>
      </c>
    </row>
    <row r="41" spans="1:20" x14ac:dyDescent="0.35">
      <c r="A41" s="130">
        <v>22</v>
      </c>
      <c r="B41" s="121">
        <v>0</v>
      </c>
      <c r="C41" s="121">
        <v>0</v>
      </c>
      <c r="D41" s="121">
        <v>0</v>
      </c>
      <c r="E41" s="121">
        <v>0</v>
      </c>
      <c r="F41" s="121">
        <v>0</v>
      </c>
      <c r="G41" s="121">
        <v>0</v>
      </c>
      <c r="H41" s="121">
        <v>6</v>
      </c>
      <c r="I41" s="121">
        <v>10</v>
      </c>
      <c r="J41" s="121">
        <v>10</v>
      </c>
      <c r="K41" s="121">
        <v>10</v>
      </c>
      <c r="L41" s="121">
        <v>10</v>
      </c>
      <c r="M41" s="121">
        <v>10</v>
      </c>
      <c r="N41" s="121">
        <v>10</v>
      </c>
      <c r="O41" s="121">
        <v>10</v>
      </c>
      <c r="P41" s="121">
        <v>10</v>
      </c>
      <c r="Q41" s="121">
        <v>10</v>
      </c>
      <c r="R41" s="121">
        <v>10</v>
      </c>
      <c r="S41" s="121">
        <v>10</v>
      </c>
      <c r="T41" s="133">
        <v>10</v>
      </c>
    </row>
    <row r="42" spans="1:20" x14ac:dyDescent="0.35">
      <c r="A42" s="130">
        <v>23</v>
      </c>
      <c r="B42" s="121">
        <v>0</v>
      </c>
      <c r="C42" s="121">
        <v>0</v>
      </c>
      <c r="D42" s="121">
        <v>0</v>
      </c>
      <c r="E42" s="121">
        <v>0</v>
      </c>
      <c r="F42" s="121">
        <v>0</v>
      </c>
      <c r="G42" s="121">
        <v>0</v>
      </c>
      <c r="H42" s="121">
        <v>6</v>
      </c>
      <c r="I42" s="121">
        <v>10</v>
      </c>
      <c r="J42" s="121">
        <v>10</v>
      </c>
      <c r="K42" s="121">
        <v>10</v>
      </c>
      <c r="L42" s="121">
        <v>10</v>
      </c>
      <c r="M42" s="121">
        <v>10</v>
      </c>
      <c r="N42" s="121">
        <v>10</v>
      </c>
      <c r="O42" s="121">
        <v>10</v>
      </c>
      <c r="P42" s="121">
        <v>10</v>
      </c>
      <c r="Q42" s="121">
        <v>10</v>
      </c>
      <c r="R42" s="121">
        <v>10</v>
      </c>
      <c r="S42" s="121">
        <v>10</v>
      </c>
      <c r="T42" s="133">
        <v>10</v>
      </c>
    </row>
    <row r="43" spans="1:20" x14ac:dyDescent="0.35">
      <c r="A43" s="130">
        <v>24</v>
      </c>
      <c r="B43" s="121">
        <v>0</v>
      </c>
      <c r="C43" s="121">
        <v>0</v>
      </c>
      <c r="D43" s="121">
        <v>0</v>
      </c>
      <c r="E43" s="121">
        <v>0</v>
      </c>
      <c r="F43" s="121">
        <v>0</v>
      </c>
      <c r="G43" s="121">
        <v>0</v>
      </c>
      <c r="H43" s="121">
        <v>7</v>
      </c>
      <c r="I43" s="121">
        <v>10</v>
      </c>
      <c r="J43" s="121">
        <v>10</v>
      </c>
      <c r="K43" s="121">
        <v>10</v>
      </c>
      <c r="L43" s="121">
        <v>10</v>
      </c>
      <c r="M43" s="121">
        <v>10</v>
      </c>
      <c r="N43" s="121">
        <v>10</v>
      </c>
      <c r="O43" s="121">
        <v>10</v>
      </c>
      <c r="P43" s="121">
        <v>10</v>
      </c>
      <c r="Q43" s="121">
        <v>10</v>
      </c>
      <c r="R43" s="121">
        <v>10</v>
      </c>
      <c r="S43" s="121">
        <v>10</v>
      </c>
      <c r="T43" s="133">
        <v>10</v>
      </c>
    </row>
    <row r="44" spans="1:20" x14ac:dyDescent="0.35">
      <c r="A44" s="130">
        <v>25</v>
      </c>
      <c r="B44" s="121">
        <v>0</v>
      </c>
      <c r="C44" s="121">
        <v>0</v>
      </c>
      <c r="D44" s="121">
        <v>0</v>
      </c>
      <c r="E44" s="121">
        <v>0</v>
      </c>
      <c r="F44" s="121">
        <v>0</v>
      </c>
      <c r="G44" s="121">
        <v>0</v>
      </c>
      <c r="H44" s="121">
        <v>7</v>
      </c>
      <c r="I44" s="121">
        <v>10</v>
      </c>
      <c r="J44" s="121">
        <v>10</v>
      </c>
      <c r="K44" s="121">
        <v>10</v>
      </c>
      <c r="L44" s="121">
        <v>10</v>
      </c>
      <c r="M44" s="121">
        <v>10</v>
      </c>
      <c r="N44" s="121">
        <v>10</v>
      </c>
      <c r="O44" s="121">
        <v>10</v>
      </c>
      <c r="P44" s="121">
        <v>10</v>
      </c>
      <c r="Q44" s="121">
        <v>10</v>
      </c>
      <c r="R44" s="121">
        <v>10</v>
      </c>
      <c r="S44" s="121">
        <v>10</v>
      </c>
      <c r="T44" s="133">
        <v>10</v>
      </c>
    </row>
    <row r="45" spans="1:20" x14ac:dyDescent="0.35">
      <c r="A45" s="130">
        <v>26</v>
      </c>
      <c r="B45" s="121">
        <v>0</v>
      </c>
      <c r="C45" s="121">
        <v>0</v>
      </c>
      <c r="D45" s="121">
        <v>0</v>
      </c>
      <c r="E45" s="121">
        <v>0</v>
      </c>
      <c r="F45" s="121">
        <v>0</v>
      </c>
      <c r="G45" s="121">
        <v>0</v>
      </c>
      <c r="H45" s="121">
        <v>8</v>
      </c>
      <c r="I45" s="121">
        <v>10</v>
      </c>
      <c r="J45" s="121">
        <v>10</v>
      </c>
      <c r="K45" s="121">
        <v>10</v>
      </c>
      <c r="L45" s="121">
        <v>10</v>
      </c>
      <c r="M45" s="121">
        <v>10</v>
      </c>
      <c r="N45" s="121">
        <v>10</v>
      </c>
      <c r="O45" s="121">
        <v>10</v>
      </c>
      <c r="P45" s="121">
        <v>10</v>
      </c>
      <c r="Q45" s="121">
        <v>10</v>
      </c>
      <c r="R45" s="121">
        <v>10</v>
      </c>
      <c r="S45" s="121">
        <v>10</v>
      </c>
      <c r="T45" s="133">
        <v>10</v>
      </c>
    </row>
    <row r="46" spans="1:20" x14ac:dyDescent="0.35">
      <c r="A46" s="130">
        <v>27</v>
      </c>
      <c r="B46" s="121">
        <v>0</v>
      </c>
      <c r="C46" s="121">
        <v>0</v>
      </c>
      <c r="D46" s="121">
        <v>0</v>
      </c>
      <c r="E46" s="121">
        <v>0</v>
      </c>
      <c r="F46" s="121">
        <v>0</v>
      </c>
      <c r="G46" s="121">
        <v>0</v>
      </c>
      <c r="H46" s="121">
        <v>8</v>
      </c>
      <c r="I46" s="121">
        <v>10</v>
      </c>
      <c r="J46" s="121">
        <v>10</v>
      </c>
      <c r="K46" s="121">
        <v>10</v>
      </c>
      <c r="L46" s="121">
        <v>10</v>
      </c>
      <c r="M46" s="121">
        <v>10</v>
      </c>
      <c r="N46" s="121">
        <v>10</v>
      </c>
      <c r="O46" s="121">
        <v>10</v>
      </c>
      <c r="P46" s="121">
        <v>10</v>
      </c>
      <c r="Q46" s="121">
        <v>10</v>
      </c>
      <c r="R46" s="121">
        <v>10</v>
      </c>
      <c r="S46" s="121">
        <v>10</v>
      </c>
      <c r="T46" s="133">
        <v>10</v>
      </c>
    </row>
    <row r="47" spans="1:20" x14ac:dyDescent="0.35">
      <c r="A47" s="130">
        <v>28</v>
      </c>
      <c r="B47" s="121">
        <v>0</v>
      </c>
      <c r="C47" s="121">
        <v>0</v>
      </c>
      <c r="D47" s="121">
        <v>0</v>
      </c>
      <c r="E47" s="121">
        <v>0</v>
      </c>
      <c r="F47" s="121">
        <v>0</v>
      </c>
      <c r="G47" s="121">
        <v>0</v>
      </c>
      <c r="H47" s="121">
        <v>9</v>
      </c>
      <c r="I47" s="121">
        <v>10</v>
      </c>
      <c r="J47" s="121">
        <v>10</v>
      </c>
      <c r="K47" s="121">
        <v>10</v>
      </c>
      <c r="L47" s="121">
        <v>10</v>
      </c>
      <c r="M47" s="121">
        <v>10</v>
      </c>
      <c r="N47" s="121">
        <v>10</v>
      </c>
      <c r="O47" s="121">
        <v>10</v>
      </c>
      <c r="P47" s="121">
        <v>10</v>
      </c>
      <c r="Q47" s="121">
        <v>10</v>
      </c>
      <c r="R47" s="121">
        <v>10</v>
      </c>
      <c r="S47" s="121">
        <v>10</v>
      </c>
      <c r="T47" s="133">
        <v>10</v>
      </c>
    </row>
    <row r="48" spans="1:20" x14ac:dyDescent="0.35">
      <c r="A48" s="130">
        <v>29</v>
      </c>
      <c r="B48" s="121">
        <v>0</v>
      </c>
      <c r="C48" s="121">
        <v>0</v>
      </c>
      <c r="D48" s="121">
        <v>0</v>
      </c>
      <c r="E48" s="121">
        <v>0</v>
      </c>
      <c r="F48" s="121">
        <v>0</v>
      </c>
      <c r="G48" s="121">
        <v>0</v>
      </c>
      <c r="H48" s="121">
        <v>9</v>
      </c>
      <c r="I48" s="121">
        <v>10</v>
      </c>
      <c r="J48" s="121">
        <v>10</v>
      </c>
      <c r="K48" s="121">
        <v>10</v>
      </c>
      <c r="L48" s="121">
        <v>10</v>
      </c>
      <c r="M48" s="121">
        <v>10</v>
      </c>
      <c r="N48" s="121">
        <v>10</v>
      </c>
      <c r="O48" s="121">
        <v>10</v>
      </c>
      <c r="P48" s="121">
        <v>10</v>
      </c>
      <c r="Q48" s="121">
        <v>10</v>
      </c>
      <c r="R48" s="121">
        <v>10</v>
      </c>
      <c r="S48" s="121">
        <v>10</v>
      </c>
      <c r="T48" s="133">
        <v>10</v>
      </c>
    </row>
    <row r="49" spans="1:20" x14ac:dyDescent="0.35">
      <c r="A49" s="126">
        <v>30</v>
      </c>
      <c r="B49" s="134">
        <v>0</v>
      </c>
      <c r="C49" s="134">
        <v>0</v>
      </c>
      <c r="D49" s="134">
        <v>0</v>
      </c>
      <c r="E49" s="134">
        <v>0</v>
      </c>
      <c r="F49" s="134">
        <v>0</v>
      </c>
      <c r="G49" s="134">
        <v>0</v>
      </c>
      <c r="H49" s="134">
        <v>10</v>
      </c>
      <c r="I49" s="134">
        <v>10</v>
      </c>
      <c r="J49" s="134">
        <v>10</v>
      </c>
      <c r="K49" s="134">
        <v>10</v>
      </c>
      <c r="L49" s="134">
        <v>10</v>
      </c>
      <c r="M49" s="134">
        <v>10</v>
      </c>
      <c r="N49" s="134">
        <v>10</v>
      </c>
      <c r="O49" s="134">
        <v>10</v>
      </c>
      <c r="P49" s="134">
        <v>10</v>
      </c>
      <c r="Q49" s="134">
        <v>10</v>
      </c>
      <c r="R49" s="134">
        <v>10</v>
      </c>
      <c r="S49" s="134">
        <v>10</v>
      </c>
      <c r="T49" s="135">
        <v>10</v>
      </c>
    </row>
    <row r="50" spans="1:20" ht="15" thickBot="1" x14ac:dyDescent="0.4"/>
    <row r="51" spans="1:20" x14ac:dyDescent="0.35">
      <c r="A51" s="213" t="s">
        <v>38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5"/>
    </row>
    <row r="52" spans="1:20" ht="15" thickBot="1" x14ac:dyDescent="0.4">
      <c r="A52" s="126" t="s">
        <v>346</v>
      </c>
      <c r="B52" s="127" t="s">
        <v>286</v>
      </c>
      <c r="C52" s="127" t="s">
        <v>287</v>
      </c>
      <c r="D52" s="127" t="s">
        <v>288</v>
      </c>
      <c r="E52" s="127" t="s">
        <v>289</v>
      </c>
      <c r="F52" s="127" t="s">
        <v>290</v>
      </c>
      <c r="G52" s="127" t="s">
        <v>291</v>
      </c>
      <c r="H52" s="127" t="s">
        <v>292</v>
      </c>
      <c r="I52" s="127" t="s">
        <v>293</v>
      </c>
      <c r="J52" s="127" t="s">
        <v>294</v>
      </c>
      <c r="K52" s="127" t="s">
        <v>295</v>
      </c>
      <c r="L52" s="127" t="s">
        <v>296</v>
      </c>
      <c r="M52" s="127" t="s">
        <v>297</v>
      </c>
      <c r="N52" s="127" t="s">
        <v>298</v>
      </c>
      <c r="O52" s="127" t="s">
        <v>299</v>
      </c>
      <c r="P52" s="127" t="s">
        <v>300</v>
      </c>
      <c r="Q52" s="127" t="s">
        <v>301</v>
      </c>
      <c r="R52" s="127" t="s">
        <v>302</v>
      </c>
      <c r="S52" s="127" t="s">
        <v>303</v>
      </c>
      <c r="T52" s="128" t="s">
        <v>304</v>
      </c>
    </row>
    <row r="53" spans="1:20" x14ac:dyDescent="0.35">
      <c r="A53" s="123">
        <v>0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29">
        <v>0</v>
      </c>
    </row>
    <row r="54" spans="1:20" x14ac:dyDescent="0.35">
      <c r="A54" s="130">
        <v>1</v>
      </c>
      <c r="B54" s="131">
        <v>0</v>
      </c>
      <c r="C54" s="131">
        <v>0</v>
      </c>
      <c r="D54" s="131">
        <v>0</v>
      </c>
      <c r="E54" s="131">
        <v>0</v>
      </c>
      <c r="F54" s="131">
        <v>0</v>
      </c>
      <c r="G54" s="131">
        <v>0</v>
      </c>
      <c r="H54" s="131">
        <v>0</v>
      </c>
      <c r="I54" s="131">
        <v>1</v>
      </c>
      <c r="J54" s="131">
        <v>1</v>
      </c>
      <c r="K54" s="131">
        <v>1</v>
      </c>
      <c r="L54" s="131">
        <v>1</v>
      </c>
      <c r="M54" s="131">
        <v>1</v>
      </c>
      <c r="N54" s="131">
        <v>1</v>
      </c>
      <c r="O54" s="131">
        <v>0</v>
      </c>
      <c r="P54" s="131">
        <v>0</v>
      </c>
      <c r="Q54" s="131">
        <v>0</v>
      </c>
      <c r="R54" s="131">
        <v>0</v>
      </c>
      <c r="S54" s="131">
        <v>0</v>
      </c>
      <c r="T54" s="132">
        <v>0</v>
      </c>
    </row>
    <row r="55" spans="1:20" x14ac:dyDescent="0.35">
      <c r="A55" s="130">
        <v>2</v>
      </c>
      <c r="B55" s="131">
        <v>0</v>
      </c>
      <c r="C55" s="131">
        <v>0</v>
      </c>
      <c r="D55" s="131">
        <v>0</v>
      </c>
      <c r="E55" s="131">
        <v>0</v>
      </c>
      <c r="F55" s="131">
        <v>0</v>
      </c>
      <c r="G55" s="131">
        <v>0</v>
      </c>
      <c r="H55" s="131">
        <v>0</v>
      </c>
      <c r="I55" s="131">
        <v>2</v>
      </c>
      <c r="J55" s="131">
        <v>2</v>
      </c>
      <c r="K55" s="131">
        <v>2</v>
      </c>
      <c r="L55" s="131">
        <v>2</v>
      </c>
      <c r="M55" s="131">
        <v>2</v>
      </c>
      <c r="N55" s="131">
        <v>2</v>
      </c>
      <c r="O55" s="131">
        <v>1</v>
      </c>
      <c r="P55" s="131">
        <v>1</v>
      </c>
      <c r="Q55" s="131">
        <v>1</v>
      </c>
      <c r="R55" s="131">
        <v>1</v>
      </c>
      <c r="S55" s="131">
        <v>1</v>
      </c>
      <c r="T55" s="132">
        <v>1</v>
      </c>
    </row>
    <row r="56" spans="1:20" x14ac:dyDescent="0.35">
      <c r="A56" s="130">
        <v>3</v>
      </c>
      <c r="B56" s="131">
        <v>0</v>
      </c>
      <c r="C56" s="131">
        <v>0</v>
      </c>
      <c r="D56" s="131">
        <v>0</v>
      </c>
      <c r="E56" s="131">
        <v>0</v>
      </c>
      <c r="F56" s="131">
        <v>0</v>
      </c>
      <c r="G56" s="131">
        <v>0</v>
      </c>
      <c r="H56" s="131">
        <v>1</v>
      </c>
      <c r="I56" s="131">
        <v>3</v>
      </c>
      <c r="J56" s="131">
        <v>3</v>
      </c>
      <c r="K56" s="131">
        <v>3</v>
      </c>
      <c r="L56" s="131">
        <v>3</v>
      </c>
      <c r="M56" s="131">
        <v>3</v>
      </c>
      <c r="N56" s="131">
        <v>3</v>
      </c>
      <c r="O56" s="131">
        <v>1</v>
      </c>
      <c r="P56" s="131">
        <v>1</v>
      </c>
      <c r="Q56" s="131">
        <v>1</v>
      </c>
      <c r="R56" s="131">
        <v>1</v>
      </c>
      <c r="S56" s="131">
        <v>1</v>
      </c>
      <c r="T56" s="132">
        <v>1</v>
      </c>
    </row>
    <row r="57" spans="1:20" x14ac:dyDescent="0.35">
      <c r="A57" s="130">
        <v>4</v>
      </c>
      <c r="B57" s="131">
        <v>0</v>
      </c>
      <c r="C57" s="131">
        <v>0</v>
      </c>
      <c r="D57" s="131">
        <v>0</v>
      </c>
      <c r="E57" s="131">
        <v>0</v>
      </c>
      <c r="F57" s="131">
        <v>0</v>
      </c>
      <c r="G57" s="131">
        <v>0</v>
      </c>
      <c r="H57" s="131">
        <v>2</v>
      </c>
      <c r="I57" s="131">
        <v>4</v>
      </c>
      <c r="J57" s="131">
        <v>4</v>
      </c>
      <c r="K57" s="131">
        <v>4</v>
      </c>
      <c r="L57" s="131">
        <v>4</v>
      </c>
      <c r="M57" s="131">
        <v>4</v>
      </c>
      <c r="N57" s="131">
        <v>4</v>
      </c>
      <c r="O57" s="131">
        <v>2</v>
      </c>
      <c r="P57" s="131">
        <v>2</v>
      </c>
      <c r="Q57" s="131">
        <v>2</v>
      </c>
      <c r="R57" s="131">
        <v>2</v>
      </c>
      <c r="S57" s="131">
        <v>2</v>
      </c>
      <c r="T57" s="132">
        <v>2</v>
      </c>
    </row>
    <row r="58" spans="1:20" x14ac:dyDescent="0.35">
      <c r="A58" s="130">
        <v>5</v>
      </c>
      <c r="B58" s="131">
        <v>0</v>
      </c>
      <c r="C58" s="131">
        <v>0</v>
      </c>
      <c r="D58" s="131">
        <v>0</v>
      </c>
      <c r="E58" s="131">
        <v>0</v>
      </c>
      <c r="F58" s="131">
        <v>0</v>
      </c>
      <c r="G58" s="131">
        <v>0</v>
      </c>
      <c r="H58" s="131">
        <v>3</v>
      </c>
      <c r="I58" s="131">
        <v>5</v>
      </c>
      <c r="J58" s="131">
        <v>5</v>
      </c>
      <c r="K58" s="131">
        <v>5</v>
      </c>
      <c r="L58" s="131">
        <v>5</v>
      </c>
      <c r="M58" s="131">
        <v>5</v>
      </c>
      <c r="N58" s="131">
        <v>5</v>
      </c>
      <c r="O58" s="131">
        <v>3</v>
      </c>
      <c r="P58" s="131">
        <v>3</v>
      </c>
      <c r="Q58" s="131">
        <v>3</v>
      </c>
      <c r="R58" s="131">
        <v>3</v>
      </c>
      <c r="S58" s="131">
        <v>3</v>
      </c>
      <c r="T58" s="132">
        <v>3</v>
      </c>
    </row>
    <row r="59" spans="1:20" x14ac:dyDescent="0.35">
      <c r="A59" s="130">
        <v>6</v>
      </c>
      <c r="B59" s="131">
        <v>0</v>
      </c>
      <c r="C59" s="131">
        <v>0</v>
      </c>
      <c r="D59" s="131">
        <v>0</v>
      </c>
      <c r="E59" s="131">
        <v>0</v>
      </c>
      <c r="F59" s="131">
        <v>0</v>
      </c>
      <c r="G59" s="131">
        <v>0</v>
      </c>
      <c r="H59" s="131">
        <v>4</v>
      </c>
      <c r="I59" s="131">
        <v>6</v>
      </c>
      <c r="J59" s="131">
        <v>6</v>
      </c>
      <c r="K59" s="131">
        <v>6</v>
      </c>
      <c r="L59" s="131">
        <v>6</v>
      </c>
      <c r="M59" s="131">
        <v>6</v>
      </c>
      <c r="N59" s="131">
        <v>6</v>
      </c>
      <c r="O59" s="131">
        <v>4</v>
      </c>
      <c r="P59" s="131">
        <v>4</v>
      </c>
      <c r="Q59" s="131">
        <v>4</v>
      </c>
      <c r="R59" s="131">
        <v>4</v>
      </c>
      <c r="S59" s="131">
        <v>4</v>
      </c>
      <c r="T59" s="132">
        <v>4</v>
      </c>
    </row>
    <row r="60" spans="1:20" x14ac:dyDescent="0.35">
      <c r="A60" s="130">
        <v>7</v>
      </c>
      <c r="B60" s="131">
        <v>0</v>
      </c>
      <c r="C60" s="131">
        <v>0</v>
      </c>
      <c r="D60" s="131">
        <v>0</v>
      </c>
      <c r="E60" s="131">
        <v>0</v>
      </c>
      <c r="F60" s="131">
        <v>0</v>
      </c>
      <c r="G60" s="131">
        <v>0</v>
      </c>
      <c r="H60" s="131">
        <v>5</v>
      </c>
      <c r="I60" s="131">
        <v>7</v>
      </c>
      <c r="J60" s="131">
        <v>7</v>
      </c>
      <c r="K60" s="131">
        <v>7</v>
      </c>
      <c r="L60" s="131">
        <v>7</v>
      </c>
      <c r="M60" s="131">
        <v>7</v>
      </c>
      <c r="N60" s="131">
        <v>7</v>
      </c>
      <c r="O60" s="131">
        <v>5</v>
      </c>
      <c r="P60" s="131">
        <v>5</v>
      </c>
      <c r="Q60" s="131">
        <v>5</v>
      </c>
      <c r="R60" s="131">
        <v>5</v>
      </c>
      <c r="S60" s="131">
        <v>5</v>
      </c>
      <c r="T60" s="132">
        <v>5</v>
      </c>
    </row>
    <row r="61" spans="1:20" x14ac:dyDescent="0.35">
      <c r="A61" s="130">
        <v>8</v>
      </c>
      <c r="B61" s="131">
        <v>0</v>
      </c>
      <c r="C61" s="131">
        <v>0</v>
      </c>
      <c r="D61" s="131">
        <v>0</v>
      </c>
      <c r="E61" s="131">
        <v>0</v>
      </c>
      <c r="F61" s="131">
        <v>0</v>
      </c>
      <c r="G61" s="131">
        <v>0</v>
      </c>
      <c r="H61" s="131">
        <v>6</v>
      </c>
      <c r="I61" s="131">
        <v>8</v>
      </c>
      <c r="J61" s="131">
        <v>8</v>
      </c>
      <c r="K61" s="131">
        <v>8</v>
      </c>
      <c r="L61" s="131">
        <v>8</v>
      </c>
      <c r="M61" s="131">
        <v>8</v>
      </c>
      <c r="N61" s="131">
        <v>8</v>
      </c>
      <c r="O61" s="131">
        <v>6</v>
      </c>
      <c r="P61" s="131">
        <v>6</v>
      </c>
      <c r="Q61" s="131">
        <v>6</v>
      </c>
      <c r="R61" s="131">
        <v>6</v>
      </c>
      <c r="S61" s="131">
        <v>6</v>
      </c>
      <c r="T61" s="132">
        <v>6</v>
      </c>
    </row>
    <row r="62" spans="1:20" x14ac:dyDescent="0.35">
      <c r="A62" s="130">
        <v>9</v>
      </c>
      <c r="B62" s="131">
        <v>0</v>
      </c>
      <c r="C62" s="131">
        <v>0</v>
      </c>
      <c r="D62" s="131">
        <v>0</v>
      </c>
      <c r="E62" s="131">
        <v>0</v>
      </c>
      <c r="F62" s="131">
        <v>0</v>
      </c>
      <c r="G62" s="131">
        <v>0</v>
      </c>
      <c r="H62" s="131">
        <v>7</v>
      </c>
      <c r="I62" s="131">
        <v>9</v>
      </c>
      <c r="J62" s="131">
        <v>9</v>
      </c>
      <c r="K62" s="131">
        <v>9</v>
      </c>
      <c r="L62" s="131">
        <v>9</v>
      </c>
      <c r="M62" s="131">
        <v>9</v>
      </c>
      <c r="N62" s="131">
        <v>9</v>
      </c>
      <c r="O62" s="131">
        <v>7</v>
      </c>
      <c r="P62" s="131">
        <v>7</v>
      </c>
      <c r="Q62" s="131">
        <v>7</v>
      </c>
      <c r="R62" s="131">
        <v>7</v>
      </c>
      <c r="S62" s="131">
        <v>7</v>
      </c>
      <c r="T62" s="132">
        <v>7</v>
      </c>
    </row>
    <row r="63" spans="1:20" x14ac:dyDescent="0.35">
      <c r="A63" s="130">
        <v>10</v>
      </c>
      <c r="B63" s="131">
        <v>0</v>
      </c>
      <c r="C63" s="131">
        <v>0</v>
      </c>
      <c r="D63" s="131">
        <v>0</v>
      </c>
      <c r="E63" s="131">
        <v>0</v>
      </c>
      <c r="F63" s="131">
        <v>0</v>
      </c>
      <c r="G63" s="131">
        <v>0</v>
      </c>
      <c r="H63" s="131">
        <v>8</v>
      </c>
      <c r="I63" s="131">
        <v>10</v>
      </c>
      <c r="J63" s="131">
        <v>10</v>
      </c>
      <c r="K63" s="131">
        <v>10</v>
      </c>
      <c r="L63" s="131">
        <v>10</v>
      </c>
      <c r="M63" s="131">
        <v>10</v>
      </c>
      <c r="N63" s="131">
        <v>10</v>
      </c>
      <c r="O63" s="131">
        <v>8</v>
      </c>
      <c r="P63" s="131">
        <v>8</v>
      </c>
      <c r="Q63" s="131">
        <v>8</v>
      </c>
      <c r="R63" s="131">
        <v>8</v>
      </c>
      <c r="S63" s="131">
        <v>8</v>
      </c>
      <c r="T63" s="132">
        <v>8</v>
      </c>
    </row>
    <row r="64" spans="1:20" x14ac:dyDescent="0.35">
      <c r="A64" s="130">
        <v>11</v>
      </c>
      <c r="B64" s="131">
        <v>0</v>
      </c>
      <c r="C64" s="131">
        <v>0</v>
      </c>
      <c r="D64" s="131">
        <v>0</v>
      </c>
      <c r="E64" s="131">
        <v>0</v>
      </c>
      <c r="F64" s="131">
        <v>0</v>
      </c>
      <c r="G64" s="131">
        <v>0</v>
      </c>
      <c r="H64" s="131">
        <v>9</v>
      </c>
      <c r="I64" s="131">
        <v>10</v>
      </c>
      <c r="J64" s="131">
        <v>10</v>
      </c>
      <c r="K64" s="131">
        <v>10</v>
      </c>
      <c r="L64" s="131">
        <v>10</v>
      </c>
      <c r="M64" s="131">
        <v>10</v>
      </c>
      <c r="N64" s="131">
        <v>10</v>
      </c>
      <c r="O64" s="131">
        <v>9</v>
      </c>
      <c r="P64" s="131">
        <v>9</v>
      </c>
      <c r="Q64" s="131">
        <v>9</v>
      </c>
      <c r="R64" s="131">
        <v>9</v>
      </c>
      <c r="S64" s="131">
        <v>9</v>
      </c>
      <c r="T64" s="132">
        <v>9</v>
      </c>
    </row>
    <row r="65" spans="1:20" x14ac:dyDescent="0.35">
      <c r="A65" s="126">
        <v>12</v>
      </c>
      <c r="B65" s="134">
        <v>0</v>
      </c>
      <c r="C65" s="134">
        <v>0</v>
      </c>
      <c r="D65" s="134">
        <v>0</v>
      </c>
      <c r="E65" s="134">
        <v>0</v>
      </c>
      <c r="F65" s="134">
        <v>0</v>
      </c>
      <c r="G65" s="134">
        <v>0</v>
      </c>
      <c r="H65" s="134">
        <v>10</v>
      </c>
      <c r="I65" s="134">
        <v>10</v>
      </c>
      <c r="J65" s="134">
        <v>10</v>
      </c>
      <c r="K65" s="134">
        <v>10</v>
      </c>
      <c r="L65" s="134">
        <v>10</v>
      </c>
      <c r="M65" s="134">
        <v>10</v>
      </c>
      <c r="N65" s="134">
        <v>10</v>
      </c>
      <c r="O65" s="134">
        <v>10</v>
      </c>
      <c r="P65" s="134">
        <v>10</v>
      </c>
      <c r="Q65" s="134">
        <v>10</v>
      </c>
      <c r="R65" s="134">
        <v>10</v>
      </c>
      <c r="S65" s="134">
        <v>10</v>
      </c>
      <c r="T65" s="135">
        <v>10</v>
      </c>
    </row>
    <row r="66" spans="1:20" ht="15" thickBot="1" x14ac:dyDescent="0.4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</row>
    <row r="67" spans="1:20" x14ac:dyDescent="0.35">
      <c r="A67" s="213" t="s">
        <v>88</v>
      </c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5"/>
    </row>
    <row r="68" spans="1:20" ht="15" thickBot="1" x14ac:dyDescent="0.4">
      <c r="A68" s="126" t="s">
        <v>346</v>
      </c>
      <c r="B68" s="127" t="s">
        <v>286</v>
      </c>
      <c r="C68" s="127" t="s">
        <v>287</v>
      </c>
      <c r="D68" s="127" t="s">
        <v>288</v>
      </c>
      <c r="E68" s="127" t="s">
        <v>289</v>
      </c>
      <c r="F68" s="127" t="s">
        <v>290</v>
      </c>
      <c r="G68" s="127" t="s">
        <v>291</v>
      </c>
      <c r="H68" s="127" t="s">
        <v>292</v>
      </c>
      <c r="I68" s="127" t="s">
        <v>293</v>
      </c>
      <c r="J68" s="127" t="s">
        <v>294</v>
      </c>
      <c r="K68" s="127" t="s">
        <v>295</v>
      </c>
      <c r="L68" s="127" t="s">
        <v>296</v>
      </c>
      <c r="M68" s="127" t="s">
        <v>297</v>
      </c>
      <c r="N68" s="127" t="s">
        <v>298</v>
      </c>
      <c r="O68" s="127" t="s">
        <v>299</v>
      </c>
      <c r="P68" s="127" t="s">
        <v>300</v>
      </c>
      <c r="Q68" s="127" t="s">
        <v>301</v>
      </c>
      <c r="R68" s="127" t="s">
        <v>302</v>
      </c>
      <c r="S68" s="127" t="s">
        <v>303</v>
      </c>
      <c r="T68" s="128" t="s">
        <v>304</v>
      </c>
    </row>
    <row r="69" spans="1:20" x14ac:dyDescent="0.35">
      <c r="A69" s="123">
        <v>0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29">
        <v>0</v>
      </c>
    </row>
    <row r="70" spans="1:20" x14ac:dyDescent="0.35">
      <c r="A70" s="130">
        <v>5</v>
      </c>
      <c r="B70" s="131">
        <v>0</v>
      </c>
      <c r="C70" s="131">
        <v>0</v>
      </c>
      <c r="D70" s="131">
        <v>0</v>
      </c>
      <c r="E70" s="131">
        <v>0</v>
      </c>
      <c r="F70" s="131">
        <v>0</v>
      </c>
      <c r="G70" s="131">
        <v>0</v>
      </c>
      <c r="H70" s="131">
        <v>0</v>
      </c>
      <c r="I70" s="131">
        <v>0</v>
      </c>
      <c r="J70" s="131">
        <v>0</v>
      </c>
      <c r="K70" s="131">
        <v>0</v>
      </c>
      <c r="L70" s="131">
        <v>0</v>
      </c>
      <c r="M70" s="131">
        <v>0</v>
      </c>
      <c r="N70" s="131">
        <v>0</v>
      </c>
      <c r="O70" s="131">
        <v>0</v>
      </c>
      <c r="P70" s="131">
        <v>0</v>
      </c>
      <c r="Q70" s="131">
        <v>0</v>
      </c>
      <c r="R70" s="131">
        <v>0</v>
      </c>
      <c r="S70" s="131">
        <v>0</v>
      </c>
      <c r="T70" s="132">
        <v>0</v>
      </c>
    </row>
    <row r="71" spans="1:20" x14ac:dyDescent="0.35">
      <c r="A71" s="130">
        <v>10</v>
      </c>
      <c r="B71" s="131">
        <v>0</v>
      </c>
      <c r="C71" s="131">
        <v>0</v>
      </c>
      <c r="D71" s="131">
        <v>0</v>
      </c>
      <c r="E71" s="131">
        <v>0</v>
      </c>
      <c r="F71" s="131">
        <v>0</v>
      </c>
      <c r="G71" s="131">
        <v>0</v>
      </c>
      <c r="H71" s="131">
        <v>0</v>
      </c>
      <c r="I71" s="131">
        <v>0</v>
      </c>
      <c r="J71" s="131">
        <v>0</v>
      </c>
      <c r="K71" s="131">
        <v>0</v>
      </c>
      <c r="L71" s="131">
        <v>0</v>
      </c>
      <c r="M71" s="131">
        <v>0</v>
      </c>
      <c r="N71" s="131">
        <v>0</v>
      </c>
      <c r="O71" s="131">
        <v>0</v>
      </c>
      <c r="P71" s="131">
        <v>0</v>
      </c>
      <c r="Q71" s="131">
        <v>0</v>
      </c>
      <c r="R71" s="131">
        <v>0</v>
      </c>
      <c r="S71" s="131">
        <v>0</v>
      </c>
      <c r="T71" s="132">
        <v>0</v>
      </c>
    </row>
    <row r="72" spans="1:20" x14ac:dyDescent="0.35">
      <c r="A72" s="130">
        <v>15</v>
      </c>
      <c r="B72" s="131">
        <v>0</v>
      </c>
      <c r="C72" s="131">
        <v>0</v>
      </c>
      <c r="D72" s="131">
        <v>0</v>
      </c>
      <c r="E72" s="131">
        <v>0</v>
      </c>
      <c r="F72" s="131">
        <v>0</v>
      </c>
      <c r="G72" s="131">
        <v>0</v>
      </c>
      <c r="H72" s="131">
        <v>0</v>
      </c>
      <c r="I72" s="131">
        <v>0</v>
      </c>
      <c r="J72" s="131">
        <v>0</v>
      </c>
      <c r="K72" s="131">
        <v>0</v>
      </c>
      <c r="L72" s="131">
        <v>0</v>
      </c>
      <c r="M72" s="131">
        <v>0</v>
      </c>
      <c r="N72" s="131">
        <v>0</v>
      </c>
      <c r="O72" s="131">
        <v>0</v>
      </c>
      <c r="P72" s="131">
        <v>0</v>
      </c>
      <c r="Q72" s="131">
        <v>0</v>
      </c>
      <c r="R72" s="131">
        <v>0</v>
      </c>
      <c r="S72" s="131">
        <v>0</v>
      </c>
      <c r="T72" s="132">
        <v>0</v>
      </c>
    </row>
    <row r="73" spans="1:20" x14ac:dyDescent="0.35">
      <c r="A73" s="130">
        <v>20</v>
      </c>
      <c r="B73" s="131">
        <v>0</v>
      </c>
      <c r="C73" s="131">
        <v>0</v>
      </c>
      <c r="D73" s="131">
        <v>0</v>
      </c>
      <c r="E73" s="131">
        <v>0</v>
      </c>
      <c r="F73" s="131">
        <v>0</v>
      </c>
      <c r="G73" s="131">
        <v>0</v>
      </c>
      <c r="H73" s="131">
        <v>0</v>
      </c>
      <c r="I73" s="131">
        <v>0</v>
      </c>
      <c r="J73" s="131">
        <v>0</v>
      </c>
      <c r="K73" s="131">
        <v>0</v>
      </c>
      <c r="L73" s="131">
        <v>0</v>
      </c>
      <c r="M73" s="131">
        <v>0</v>
      </c>
      <c r="N73" s="131">
        <v>0</v>
      </c>
      <c r="O73" s="131">
        <v>0</v>
      </c>
      <c r="P73" s="131">
        <v>0</v>
      </c>
      <c r="Q73" s="131">
        <v>0</v>
      </c>
      <c r="R73" s="131">
        <v>0</v>
      </c>
      <c r="S73" s="131">
        <v>0</v>
      </c>
      <c r="T73" s="132">
        <v>0</v>
      </c>
    </row>
    <row r="74" spans="1:20" x14ac:dyDescent="0.35">
      <c r="A74" s="130">
        <v>25</v>
      </c>
      <c r="B74" s="131">
        <v>0</v>
      </c>
      <c r="C74" s="131">
        <v>0</v>
      </c>
      <c r="D74" s="131">
        <v>0</v>
      </c>
      <c r="E74" s="131">
        <v>0</v>
      </c>
      <c r="F74" s="131">
        <v>0</v>
      </c>
      <c r="G74" s="131">
        <v>0</v>
      </c>
      <c r="H74" s="131">
        <v>0</v>
      </c>
      <c r="I74" s="131">
        <v>0</v>
      </c>
      <c r="J74" s="131">
        <v>0</v>
      </c>
      <c r="K74" s="131">
        <v>0</v>
      </c>
      <c r="L74" s="131">
        <v>0</v>
      </c>
      <c r="M74" s="131">
        <v>0</v>
      </c>
      <c r="N74" s="131">
        <v>0</v>
      </c>
      <c r="O74" s="131">
        <v>0</v>
      </c>
      <c r="P74" s="131">
        <v>0</v>
      </c>
      <c r="Q74" s="131">
        <v>0</v>
      </c>
      <c r="R74" s="131">
        <v>0</v>
      </c>
      <c r="S74" s="131">
        <v>0</v>
      </c>
      <c r="T74" s="132">
        <v>0</v>
      </c>
    </row>
    <row r="75" spans="1:20" x14ac:dyDescent="0.35">
      <c r="A75" s="130">
        <v>30</v>
      </c>
      <c r="B75" s="131">
        <v>0</v>
      </c>
      <c r="C75" s="131">
        <v>0</v>
      </c>
      <c r="D75" s="131">
        <v>0</v>
      </c>
      <c r="E75" s="131">
        <v>0</v>
      </c>
      <c r="F75" s="131">
        <v>0</v>
      </c>
      <c r="G75" s="131">
        <v>0</v>
      </c>
      <c r="H75" s="131">
        <v>0</v>
      </c>
      <c r="I75" s="131">
        <v>0</v>
      </c>
      <c r="J75" s="131">
        <v>0</v>
      </c>
      <c r="K75" s="131">
        <v>0</v>
      </c>
      <c r="L75" s="131">
        <v>0</v>
      </c>
      <c r="M75" s="131">
        <v>0</v>
      </c>
      <c r="N75" s="131">
        <v>0</v>
      </c>
      <c r="O75" s="131">
        <v>0</v>
      </c>
      <c r="P75" s="131">
        <v>0</v>
      </c>
      <c r="Q75" s="131">
        <v>0</v>
      </c>
      <c r="R75" s="131">
        <v>0</v>
      </c>
      <c r="S75" s="131">
        <v>0</v>
      </c>
      <c r="T75" s="132">
        <v>0</v>
      </c>
    </row>
    <row r="76" spans="1:20" x14ac:dyDescent="0.35">
      <c r="A76" s="130">
        <v>35</v>
      </c>
      <c r="B76" s="131">
        <v>0</v>
      </c>
      <c r="C76" s="131">
        <v>0</v>
      </c>
      <c r="D76" s="131">
        <v>0</v>
      </c>
      <c r="E76" s="131">
        <v>0</v>
      </c>
      <c r="F76" s="131">
        <v>0</v>
      </c>
      <c r="G76" s="131">
        <v>0</v>
      </c>
      <c r="H76" s="131">
        <v>0</v>
      </c>
      <c r="I76" s="131">
        <v>0</v>
      </c>
      <c r="J76" s="131">
        <v>0</v>
      </c>
      <c r="K76" s="131">
        <v>0</v>
      </c>
      <c r="L76" s="131">
        <v>0</v>
      </c>
      <c r="M76" s="131">
        <v>0</v>
      </c>
      <c r="N76" s="131">
        <v>0</v>
      </c>
      <c r="O76" s="131">
        <v>0</v>
      </c>
      <c r="P76" s="131">
        <v>0</v>
      </c>
      <c r="Q76" s="131">
        <v>0</v>
      </c>
      <c r="R76" s="131">
        <v>0</v>
      </c>
      <c r="S76" s="131">
        <v>0</v>
      </c>
      <c r="T76" s="132">
        <v>0</v>
      </c>
    </row>
    <row r="77" spans="1:20" x14ac:dyDescent="0.35">
      <c r="A77" s="130">
        <v>40</v>
      </c>
      <c r="B77" s="131">
        <v>0</v>
      </c>
      <c r="C77" s="131">
        <v>0</v>
      </c>
      <c r="D77" s="131">
        <v>0</v>
      </c>
      <c r="E77" s="131">
        <v>0</v>
      </c>
      <c r="F77" s="131">
        <v>0</v>
      </c>
      <c r="G77" s="131">
        <v>0</v>
      </c>
      <c r="H77" s="131">
        <v>0</v>
      </c>
      <c r="I77" s="131">
        <v>0</v>
      </c>
      <c r="J77" s="131">
        <v>0</v>
      </c>
      <c r="K77" s="131">
        <v>0</v>
      </c>
      <c r="L77" s="131">
        <v>0</v>
      </c>
      <c r="M77" s="131">
        <v>0</v>
      </c>
      <c r="N77" s="131">
        <v>0</v>
      </c>
      <c r="O77" s="131">
        <v>0</v>
      </c>
      <c r="P77" s="131">
        <v>0</v>
      </c>
      <c r="Q77" s="131">
        <v>0</v>
      </c>
      <c r="R77" s="131">
        <v>0</v>
      </c>
      <c r="S77" s="131">
        <v>0</v>
      </c>
      <c r="T77" s="132">
        <v>0</v>
      </c>
    </row>
    <row r="78" spans="1:20" x14ac:dyDescent="0.35">
      <c r="A78" s="130">
        <v>45</v>
      </c>
      <c r="B78" s="131">
        <v>0</v>
      </c>
      <c r="C78" s="131">
        <v>0</v>
      </c>
      <c r="D78" s="131">
        <v>0</v>
      </c>
      <c r="E78" s="131">
        <v>0</v>
      </c>
      <c r="F78" s="131">
        <v>0</v>
      </c>
      <c r="G78" s="131">
        <v>0</v>
      </c>
      <c r="H78" s="131">
        <v>1</v>
      </c>
      <c r="I78" s="131">
        <v>1</v>
      </c>
      <c r="J78" s="131">
        <v>1</v>
      </c>
      <c r="K78" s="131">
        <v>1</v>
      </c>
      <c r="L78" s="131">
        <v>0</v>
      </c>
      <c r="M78" s="131">
        <v>0</v>
      </c>
      <c r="N78" s="131">
        <v>0</v>
      </c>
      <c r="O78" s="131">
        <v>0</v>
      </c>
      <c r="P78" s="131">
        <v>0</v>
      </c>
      <c r="Q78" s="131">
        <v>0</v>
      </c>
      <c r="R78" s="131">
        <v>0</v>
      </c>
      <c r="S78" s="131">
        <v>0</v>
      </c>
      <c r="T78" s="132">
        <v>0</v>
      </c>
    </row>
    <row r="79" spans="1:20" x14ac:dyDescent="0.35">
      <c r="A79" s="130">
        <v>50</v>
      </c>
      <c r="B79" s="131">
        <v>0</v>
      </c>
      <c r="C79" s="131">
        <v>0</v>
      </c>
      <c r="D79" s="131">
        <v>0</v>
      </c>
      <c r="E79" s="131">
        <v>0</v>
      </c>
      <c r="F79" s="131">
        <v>0</v>
      </c>
      <c r="G79" s="131">
        <v>0</v>
      </c>
      <c r="H79" s="131">
        <v>2</v>
      </c>
      <c r="I79" s="131">
        <v>2</v>
      </c>
      <c r="J79" s="131">
        <v>2</v>
      </c>
      <c r="K79" s="131">
        <v>2</v>
      </c>
      <c r="L79" s="131">
        <v>0</v>
      </c>
      <c r="M79" s="131">
        <v>0</v>
      </c>
      <c r="N79" s="131">
        <v>0</v>
      </c>
      <c r="O79" s="131">
        <v>0</v>
      </c>
      <c r="P79" s="131">
        <v>0</v>
      </c>
      <c r="Q79" s="131">
        <v>0</v>
      </c>
      <c r="R79" s="131">
        <v>0</v>
      </c>
      <c r="S79" s="131">
        <v>0</v>
      </c>
      <c r="T79" s="132">
        <v>0</v>
      </c>
    </row>
    <row r="80" spans="1:20" x14ac:dyDescent="0.35">
      <c r="A80" s="130">
        <v>55</v>
      </c>
      <c r="B80" s="131">
        <v>0</v>
      </c>
      <c r="C80" s="131">
        <v>0</v>
      </c>
      <c r="D80" s="131">
        <v>0</v>
      </c>
      <c r="E80" s="131">
        <v>0</v>
      </c>
      <c r="F80" s="131">
        <v>0</v>
      </c>
      <c r="G80" s="131">
        <v>0</v>
      </c>
      <c r="H80" s="131">
        <v>3</v>
      </c>
      <c r="I80" s="131">
        <v>3</v>
      </c>
      <c r="J80" s="131">
        <v>3</v>
      </c>
      <c r="K80" s="131">
        <v>3</v>
      </c>
      <c r="L80" s="131">
        <v>1</v>
      </c>
      <c r="M80" s="131">
        <v>1</v>
      </c>
      <c r="N80" s="131">
        <v>1</v>
      </c>
      <c r="O80" s="131">
        <v>0</v>
      </c>
      <c r="P80" s="131">
        <v>0</v>
      </c>
      <c r="Q80" s="131">
        <v>0</v>
      </c>
      <c r="R80" s="131">
        <v>0</v>
      </c>
      <c r="S80" s="131">
        <v>0</v>
      </c>
      <c r="T80" s="132">
        <v>0</v>
      </c>
    </row>
    <row r="81" spans="1:20" x14ac:dyDescent="0.35">
      <c r="A81" s="130">
        <v>60</v>
      </c>
      <c r="B81" s="131">
        <v>0</v>
      </c>
      <c r="C81" s="131">
        <v>0</v>
      </c>
      <c r="D81" s="131">
        <v>0</v>
      </c>
      <c r="E81" s="131">
        <v>0</v>
      </c>
      <c r="F81" s="131">
        <v>0</v>
      </c>
      <c r="G81" s="131">
        <v>0</v>
      </c>
      <c r="H81" s="131">
        <v>4</v>
      </c>
      <c r="I81" s="131">
        <v>4</v>
      </c>
      <c r="J81" s="131">
        <v>4</v>
      </c>
      <c r="K81" s="131">
        <v>4</v>
      </c>
      <c r="L81" s="131">
        <v>2</v>
      </c>
      <c r="M81" s="131">
        <v>2</v>
      </c>
      <c r="N81" s="131">
        <v>2</v>
      </c>
      <c r="O81" s="131">
        <v>0</v>
      </c>
      <c r="P81" s="131">
        <v>0</v>
      </c>
      <c r="Q81" s="131">
        <v>0</v>
      </c>
      <c r="R81" s="131">
        <v>0</v>
      </c>
      <c r="S81" s="131">
        <v>0</v>
      </c>
      <c r="T81" s="132">
        <v>0</v>
      </c>
    </row>
    <row r="82" spans="1:20" x14ac:dyDescent="0.35">
      <c r="A82" s="130">
        <v>65</v>
      </c>
      <c r="B82" s="131">
        <v>0</v>
      </c>
      <c r="C82" s="131">
        <v>0</v>
      </c>
      <c r="D82" s="131">
        <v>0</v>
      </c>
      <c r="E82" s="131">
        <v>0</v>
      </c>
      <c r="F82" s="131">
        <v>0</v>
      </c>
      <c r="G82" s="131">
        <v>0</v>
      </c>
      <c r="H82" s="131">
        <v>5</v>
      </c>
      <c r="I82" s="131">
        <v>5</v>
      </c>
      <c r="J82" s="131">
        <v>5</v>
      </c>
      <c r="K82" s="131">
        <v>5</v>
      </c>
      <c r="L82" s="131">
        <v>3</v>
      </c>
      <c r="M82" s="131">
        <v>3</v>
      </c>
      <c r="N82" s="131">
        <v>3</v>
      </c>
      <c r="O82" s="131">
        <v>1</v>
      </c>
      <c r="P82" s="131">
        <v>1</v>
      </c>
      <c r="Q82" s="131">
        <v>1</v>
      </c>
      <c r="R82" s="131">
        <v>1</v>
      </c>
      <c r="S82" s="131">
        <v>1</v>
      </c>
      <c r="T82" s="132">
        <v>1</v>
      </c>
    </row>
    <row r="83" spans="1:20" x14ac:dyDescent="0.35">
      <c r="A83" s="130">
        <v>70</v>
      </c>
      <c r="B83" s="131">
        <v>0</v>
      </c>
      <c r="C83" s="131">
        <v>0</v>
      </c>
      <c r="D83" s="131">
        <v>0</v>
      </c>
      <c r="E83" s="131">
        <v>0</v>
      </c>
      <c r="F83" s="131">
        <v>0</v>
      </c>
      <c r="G83" s="131">
        <v>0</v>
      </c>
      <c r="H83" s="131">
        <v>6</v>
      </c>
      <c r="I83" s="131">
        <v>6</v>
      </c>
      <c r="J83" s="131">
        <v>6</v>
      </c>
      <c r="K83" s="131">
        <v>6</v>
      </c>
      <c r="L83" s="131">
        <v>4</v>
      </c>
      <c r="M83" s="131">
        <v>4</v>
      </c>
      <c r="N83" s="131">
        <v>4</v>
      </c>
      <c r="O83" s="131">
        <v>2</v>
      </c>
      <c r="P83" s="131">
        <v>2</v>
      </c>
      <c r="Q83" s="131">
        <v>2</v>
      </c>
      <c r="R83" s="131">
        <v>2</v>
      </c>
      <c r="S83" s="131">
        <v>2</v>
      </c>
      <c r="T83" s="132">
        <v>2</v>
      </c>
    </row>
    <row r="84" spans="1:20" x14ac:dyDescent="0.35">
      <c r="A84" s="130">
        <v>75</v>
      </c>
      <c r="B84" s="131">
        <v>0</v>
      </c>
      <c r="C84" s="131">
        <v>0</v>
      </c>
      <c r="D84" s="131">
        <v>0</v>
      </c>
      <c r="E84" s="131">
        <v>0</v>
      </c>
      <c r="F84" s="131">
        <v>0</v>
      </c>
      <c r="G84" s="131">
        <v>0</v>
      </c>
      <c r="H84" s="131">
        <v>7</v>
      </c>
      <c r="I84" s="131">
        <v>7</v>
      </c>
      <c r="J84" s="131">
        <v>7</v>
      </c>
      <c r="K84" s="131">
        <v>7</v>
      </c>
      <c r="L84" s="131">
        <v>5</v>
      </c>
      <c r="M84" s="131">
        <v>5</v>
      </c>
      <c r="N84" s="131">
        <v>5</v>
      </c>
      <c r="O84" s="131">
        <v>3</v>
      </c>
      <c r="P84" s="131">
        <v>3</v>
      </c>
      <c r="Q84" s="131">
        <v>3</v>
      </c>
      <c r="R84" s="131">
        <v>3</v>
      </c>
      <c r="S84" s="131">
        <v>3</v>
      </c>
      <c r="T84" s="132">
        <v>3</v>
      </c>
    </row>
    <row r="85" spans="1:20" x14ac:dyDescent="0.35">
      <c r="A85" s="130">
        <v>80</v>
      </c>
      <c r="B85" s="131">
        <v>0</v>
      </c>
      <c r="C85" s="131">
        <v>0</v>
      </c>
      <c r="D85" s="131">
        <v>0</v>
      </c>
      <c r="E85" s="131">
        <v>0</v>
      </c>
      <c r="F85" s="131">
        <v>0</v>
      </c>
      <c r="G85" s="131">
        <v>0</v>
      </c>
      <c r="H85" s="131">
        <v>8</v>
      </c>
      <c r="I85" s="131">
        <v>8</v>
      </c>
      <c r="J85" s="131">
        <v>8</v>
      </c>
      <c r="K85" s="131">
        <v>8</v>
      </c>
      <c r="L85" s="131">
        <v>6</v>
      </c>
      <c r="M85" s="131">
        <v>6</v>
      </c>
      <c r="N85" s="131">
        <v>6</v>
      </c>
      <c r="O85" s="131">
        <v>4</v>
      </c>
      <c r="P85" s="131">
        <v>4</v>
      </c>
      <c r="Q85" s="131">
        <v>4</v>
      </c>
      <c r="R85" s="131">
        <v>4</v>
      </c>
      <c r="S85" s="131">
        <v>4</v>
      </c>
      <c r="T85" s="132">
        <v>4</v>
      </c>
    </row>
    <row r="86" spans="1:20" x14ac:dyDescent="0.35">
      <c r="A86" s="130">
        <v>85</v>
      </c>
      <c r="B86" s="131">
        <v>0</v>
      </c>
      <c r="C86" s="131">
        <v>0</v>
      </c>
      <c r="D86" s="131">
        <v>0</v>
      </c>
      <c r="E86" s="131">
        <v>0</v>
      </c>
      <c r="F86" s="131">
        <v>0</v>
      </c>
      <c r="G86" s="131">
        <v>0</v>
      </c>
      <c r="H86" s="131">
        <v>9</v>
      </c>
      <c r="I86" s="131">
        <v>9</v>
      </c>
      <c r="J86" s="131">
        <v>9</v>
      </c>
      <c r="K86" s="131">
        <v>9</v>
      </c>
      <c r="L86" s="131">
        <v>7</v>
      </c>
      <c r="M86" s="131">
        <v>7</v>
      </c>
      <c r="N86" s="131">
        <v>7</v>
      </c>
      <c r="O86" s="131">
        <v>5</v>
      </c>
      <c r="P86" s="131">
        <v>5</v>
      </c>
      <c r="Q86" s="131">
        <v>5</v>
      </c>
      <c r="R86" s="131">
        <v>5</v>
      </c>
      <c r="S86" s="131">
        <v>5</v>
      </c>
      <c r="T86" s="132">
        <v>5</v>
      </c>
    </row>
    <row r="87" spans="1:20" x14ac:dyDescent="0.35">
      <c r="A87" s="130">
        <v>90</v>
      </c>
      <c r="B87" s="131">
        <v>0</v>
      </c>
      <c r="C87" s="131">
        <v>0</v>
      </c>
      <c r="D87" s="131">
        <v>0</v>
      </c>
      <c r="E87" s="131">
        <v>0</v>
      </c>
      <c r="F87" s="131">
        <v>0</v>
      </c>
      <c r="G87" s="131">
        <v>0</v>
      </c>
      <c r="H87" s="131">
        <v>10</v>
      </c>
      <c r="I87" s="131">
        <v>10</v>
      </c>
      <c r="J87" s="131">
        <v>10</v>
      </c>
      <c r="K87" s="131">
        <v>10</v>
      </c>
      <c r="L87" s="131">
        <v>8</v>
      </c>
      <c r="M87" s="131">
        <v>8</v>
      </c>
      <c r="N87" s="131">
        <v>8</v>
      </c>
      <c r="O87" s="131">
        <v>6</v>
      </c>
      <c r="P87" s="131">
        <v>6</v>
      </c>
      <c r="Q87" s="131">
        <v>6</v>
      </c>
      <c r="R87" s="131">
        <v>6</v>
      </c>
      <c r="S87" s="131">
        <v>6</v>
      </c>
      <c r="T87" s="132">
        <v>6</v>
      </c>
    </row>
    <row r="88" spans="1:20" x14ac:dyDescent="0.35">
      <c r="A88" s="130">
        <v>95</v>
      </c>
      <c r="B88" s="131">
        <v>0</v>
      </c>
      <c r="C88" s="131">
        <v>0</v>
      </c>
      <c r="D88" s="131">
        <v>0</v>
      </c>
      <c r="E88" s="131">
        <v>0</v>
      </c>
      <c r="F88" s="131">
        <v>0</v>
      </c>
      <c r="G88" s="131">
        <v>0</v>
      </c>
      <c r="H88" s="131">
        <v>10</v>
      </c>
      <c r="I88" s="131">
        <v>10</v>
      </c>
      <c r="J88" s="131">
        <v>10</v>
      </c>
      <c r="K88" s="131">
        <v>10</v>
      </c>
      <c r="L88" s="131">
        <v>9</v>
      </c>
      <c r="M88" s="131">
        <v>9</v>
      </c>
      <c r="N88" s="131">
        <v>9</v>
      </c>
      <c r="O88" s="131">
        <v>7</v>
      </c>
      <c r="P88" s="131">
        <v>7</v>
      </c>
      <c r="Q88" s="131">
        <v>7</v>
      </c>
      <c r="R88" s="131">
        <v>7</v>
      </c>
      <c r="S88" s="131">
        <v>7</v>
      </c>
      <c r="T88" s="132">
        <v>7</v>
      </c>
    </row>
    <row r="89" spans="1:20" x14ac:dyDescent="0.35">
      <c r="A89" s="130">
        <v>100</v>
      </c>
      <c r="B89" s="131">
        <v>0</v>
      </c>
      <c r="C89" s="131">
        <v>0</v>
      </c>
      <c r="D89" s="131">
        <v>0</v>
      </c>
      <c r="E89" s="131">
        <v>0</v>
      </c>
      <c r="F89" s="131">
        <v>0</v>
      </c>
      <c r="G89" s="131">
        <v>0</v>
      </c>
      <c r="H89" s="131">
        <v>10</v>
      </c>
      <c r="I89" s="131">
        <v>10</v>
      </c>
      <c r="J89" s="131">
        <v>10</v>
      </c>
      <c r="K89" s="131">
        <v>10</v>
      </c>
      <c r="L89" s="131">
        <v>10</v>
      </c>
      <c r="M89" s="131">
        <v>10</v>
      </c>
      <c r="N89" s="131">
        <v>10</v>
      </c>
      <c r="O89" s="131">
        <v>8</v>
      </c>
      <c r="P89" s="131">
        <v>8</v>
      </c>
      <c r="Q89" s="131">
        <v>8</v>
      </c>
      <c r="R89" s="131">
        <v>8</v>
      </c>
      <c r="S89" s="131">
        <v>8</v>
      </c>
      <c r="T89" s="132">
        <v>8</v>
      </c>
    </row>
    <row r="90" spans="1:20" x14ac:dyDescent="0.35">
      <c r="A90" s="130">
        <v>105</v>
      </c>
      <c r="B90" s="131">
        <v>0</v>
      </c>
      <c r="C90" s="131">
        <v>0</v>
      </c>
      <c r="D90" s="131">
        <v>0</v>
      </c>
      <c r="E90" s="131">
        <v>0</v>
      </c>
      <c r="F90" s="131">
        <v>0</v>
      </c>
      <c r="G90" s="131">
        <v>0</v>
      </c>
      <c r="H90" s="131">
        <v>10</v>
      </c>
      <c r="I90" s="131">
        <v>10</v>
      </c>
      <c r="J90" s="131">
        <v>10</v>
      </c>
      <c r="K90" s="131">
        <v>10</v>
      </c>
      <c r="L90" s="131">
        <v>10</v>
      </c>
      <c r="M90" s="131">
        <v>10</v>
      </c>
      <c r="N90" s="131">
        <v>10</v>
      </c>
      <c r="O90" s="131">
        <v>9</v>
      </c>
      <c r="P90" s="131">
        <v>9</v>
      </c>
      <c r="Q90" s="131">
        <v>9</v>
      </c>
      <c r="R90" s="131">
        <v>9</v>
      </c>
      <c r="S90" s="131">
        <v>9</v>
      </c>
      <c r="T90" s="132">
        <v>9</v>
      </c>
    </row>
    <row r="91" spans="1:20" x14ac:dyDescent="0.35">
      <c r="A91" s="130">
        <v>110</v>
      </c>
      <c r="B91" s="131">
        <v>0</v>
      </c>
      <c r="C91" s="131">
        <v>0</v>
      </c>
      <c r="D91" s="131">
        <v>0</v>
      </c>
      <c r="E91" s="131">
        <v>0</v>
      </c>
      <c r="F91" s="131">
        <v>0</v>
      </c>
      <c r="G91" s="131">
        <v>0</v>
      </c>
      <c r="H91" s="131">
        <v>10</v>
      </c>
      <c r="I91" s="131">
        <v>10</v>
      </c>
      <c r="J91" s="131">
        <v>10</v>
      </c>
      <c r="K91" s="131">
        <v>10</v>
      </c>
      <c r="L91" s="131">
        <v>10</v>
      </c>
      <c r="M91" s="131">
        <v>10</v>
      </c>
      <c r="N91" s="131">
        <v>10</v>
      </c>
      <c r="O91" s="131">
        <v>10</v>
      </c>
      <c r="P91" s="131">
        <v>10</v>
      </c>
      <c r="Q91" s="131">
        <v>10</v>
      </c>
      <c r="R91" s="131">
        <v>10</v>
      </c>
      <c r="S91" s="131">
        <v>10</v>
      </c>
      <c r="T91" s="132">
        <v>10</v>
      </c>
    </row>
    <row r="92" spans="1:20" x14ac:dyDescent="0.35">
      <c r="A92" s="130">
        <v>115</v>
      </c>
      <c r="B92" s="131">
        <v>0</v>
      </c>
      <c r="C92" s="131">
        <v>0</v>
      </c>
      <c r="D92" s="131">
        <v>0</v>
      </c>
      <c r="E92" s="131">
        <v>0</v>
      </c>
      <c r="F92" s="131">
        <v>0</v>
      </c>
      <c r="G92" s="131">
        <v>0</v>
      </c>
      <c r="H92" s="131">
        <v>10</v>
      </c>
      <c r="I92" s="131">
        <v>10</v>
      </c>
      <c r="J92" s="131">
        <v>10</v>
      </c>
      <c r="K92" s="131">
        <v>10</v>
      </c>
      <c r="L92" s="131">
        <v>10</v>
      </c>
      <c r="M92" s="131">
        <v>10</v>
      </c>
      <c r="N92" s="131">
        <v>10</v>
      </c>
      <c r="O92" s="131">
        <v>10</v>
      </c>
      <c r="P92" s="131">
        <v>10</v>
      </c>
      <c r="Q92" s="131">
        <v>10</v>
      </c>
      <c r="R92" s="131">
        <v>10</v>
      </c>
      <c r="S92" s="131">
        <v>10</v>
      </c>
      <c r="T92" s="132">
        <v>10</v>
      </c>
    </row>
    <row r="93" spans="1:20" x14ac:dyDescent="0.35">
      <c r="A93" s="126">
        <v>120</v>
      </c>
      <c r="B93" s="134">
        <v>0</v>
      </c>
      <c r="C93" s="134">
        <v>0</v>
      </c>
      <c r="D93" s="134">
        <v>0</v>
      </c>
      <c r="E93" s="134">
        <v>0</v>
      </c>
      <c r="F93" s="134">
        <v>0</v>
      </c>
      <c r="G93" s="134">
        <v>0</v>
      </c>
      <c r="H93" s="134">
        <v>10</v>
      </c>
      <c r="I93" s="134">
        <v>10</v>
      </c>
      <c r="J93" s="134">
        <v>10</v>
      </c>
      <c r="K93" s="134">
        <v>10</v>
      </c>
      <c r="L93" s="134">
        <v>10</v>
      </c>
      <c r="M93" s="134">
        <v>10</v>
      </c>
      <c r="N93" s="134">
        <v>10</v>
      </c>
      <c r="O93" s="134">
        <v>10</v>
      </c>
      <c r="P93" s="134">
        <v>10</v>
      </c>
      <c r="Q93" s="134">
        <v>10</v>
      </c>
      <c r="R93" s="134">
        <v>10</v>
      </c>
      <c r="S93" s="134">
        <v>10</v>
      </c>
      <c r="T93" s="135">
        <v>10</v>
      </c>
    </row>
    <row r="94" spans="1:20" ht="15" thickBot="1" x14ac:dyDescent="0.4">
      <c r="A94" s="136"/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</row>
    <row r="95" spans="1:20" x14ac:dyDescent="0.35">
      <c r="A95" s="213" t="s">
        <v>39</v>
      </c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5"/>
    </row>
    <row r="96" spans="1:20" ht="15" thickBot="1" x14ac:dyDescent="0.4">
      <c r="A96" s="126" t="s">
        <v>346</v>
      </c>
      <c r="B96" s="127" t="s">
        <v>286</v>
      </c>
      <c r="C96" s="127" t="s">
        <v>287</v>
      </c>
      <c r="D96" s="127" t="s">
        <v>288</v>
      </c>
      <c r="E96" s="127" t="s">
        <v>289</v>
      </c>
      <c r="F96" s="127" t="s">
        <v>290</v>
      </c>
      <c r="G96" s="127" t="s">
        <v>291</v>
      </c>
      <c r="H96" s="127" t="s">
        <v>292</v>
      </c>
      <c r="I96" s="127" t="s">
        <v>293</v>
      </c>
      <c r="J96" s="127" t="s">
        <v>294</v>
      </c>
      <c r="K96" s="127" t="s">
        <v>295</v>
      </c>
      <c r="L96" s="127" t="s">
        <v>296</v>
      </c>
      <c r="M96" s="127" t="s">
        <v>297</v>
      </c>
      <c r="N96" s="127" t="s">
        <v>298</v>
      </c>
      <c r="O96" s="127" t="s">
        <v>299</v>
      </c>
      <c r="P96" s="127" t="s">
        <v>300</v>
      </c>
      <c r="Q96" s="127" t="s">
        <v>301</v>
      </c>
      <c r="R96" s="127" t="s">
        <v>302</v>
      </c>
      <c r="S96" s="127" t="s">
        <v>303</v>
      </c>
      <c r="T96" s="128" t="s">
        <v>304</v>
      </c>
    </row>
    <row r="97" spans="1:20" x14ac:dyDescent="0.35">
      <c r="A97" s="123">
        <v>0</v>
      </c>
      <c r="B97" s="15">
        <v>0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29">
        <v>0</v>
      </c>
    </row>
    <row r="98" spans="1:20" x14ac:dyDescent="0.35">
      <c r="A98" s="130">
        <v>1</v>
      </c>
      <c r="B98" s="131">
        <v>0</v>
      </c>
      <c r="C98" s="131">
        <v>0</v>
      </c>
      <c r="D98" s="131">
        <v>0</v>
      </c>
      <c r="E98" s="131">
        <v>0</v>
      </c>
      <c r="F98" s="131">
        <v>0</v>
      </c>
      <c r="G98" s="131">
        <v>0</v>
      </c>
      <c r="H98" s="131">
        <v>0</v>
      </c>
      <c r="I98" s="131">
        <v>0</v>
      </c>
      <c r="J98" s="131">
        <v>0</v>
      </c>
      <c r="K98" s="131">
        <v>0</v>
      </c>
      <c r="L98" s="131">
        <v>0</v>
      </c>
      <c r="M98" s="131">
        <v>0</v>
      </c>
      <c r="N98" s="131">
        <v>0</v>
      </c>
      <c r="O98" s="131">
        <v>0</v>
      </c>
      <c r="P98" s="131">
        <v>0</v>
      </c>
      <c r="Q98" s="131">
        <v>0</v>
      </c>
      <c r="R98" s="131">
        <v>0</v>
      </c>
      <c r="S98" s="131">
        <v>0</v>
      </c>
      <c r="T98" s="132">
        <v>0</v>
      </c>
    </row>
    <row r="99" spans="1:20" x14ac:dyDescent="0.35">
      <c r="A99" s="130">
        <v>2</v>
      </c>
      <c r="B99" s="131">
        <v>0</v>
      </c>
      <c r="C99" s="131">
        <v>0</v>
      </c>
      <c r="D99" s="131">
        <v>0</v>
      </c>
      <c r="E99" s="131">
        <v>0</v>
      </c>
      <c r="F99" s="131">
        <v>0</v>
      </c>
      <c r="G99" s="131">
        <v>0</v>
      </c>
      <c r="H99" s="131">
        <v>0</v>
      </c>
      <c r="I99" s="131">
        <v>0</v>
      </c>
      <c r="J99" s="131">
        <v>0</v>
      </c>
      <c r="K99" s="131">
        <v>0</v>
      </c>
      <c r="L99" s="131">
        <v>0</v>
      </c>
      <c r="M99" s="131">
        <v>0</v>
      </c>
      <c r="N99" s="131">
        <v>0</v>
      </c>
      <c r="O99" s="131">
        <v>0</v>
      </c>
      <c r="P99" s="131">
        <v>0</v>
      </c>
      <c r="Q99" s="131">
        <v>0</v>
      </c>
      <c r="R99" s="131">
        <v>0</v>
      </c>
      <c r="S99" s="131">
        <v>0</v>
      </c>
      <c r="T99" s="132">
        <v>0</v>
      </c>
    </row>
    <row r="100" spans="1:20" x14ac:dyDescent="0.35">
      <c r="A100" s="130">
        <v>3</v>
      </c>
      <c r="B100" s="131">
        <v>0</v>
      </c>
      <c r="C100" s="131">
        <v>0</v>
      </c>
      <c r="D100" s="131">
        <v>0</v>
      </c>
      <c r="E100" s="131">
        <v>0</v>
      </c>
      <c r="F100" s="131">
        <v>0</v>
      </c>
      <c r="G100" s="131">
        <v>0</v>
      </c>
      <c r="H100" s="131">
        <v>1</v>
      </c>
      <c r="I100" s="131">
        <v>1</v>
      </c>
      <c r="J100" s="131">
        <v>1</v>
      </c>
      <c r="K100" s="131">
        <v>1</v>
      </c>
      <c r="L100" s="131">
        <v>0</v>
      </c>
      <c r="M100" s="131">
        <v>0</v>
      </c>
      <c r="N100" s="131">
        <v>0</v>
      </c>
      <c r="O100" s="131">
        <v>0</v>
      </c>
      <c r="P100" s="131">
        <v>0</v>
      </c>
      <c r="Q100" s="131">
        <v>0</v>
      </c>
      <c r="R100" s="131">
        <v>0</v>
      </c>
      <c r="S100" s="131">
        <v>0</v>
      </c>
      <c r="T100" s="132">
        <v>0</v>
      </c>
    </row>
    <row r="101" spans="1:20" x14ac:dyDescent="0.35">
      <c r="A101" s="130">
        <v>4</v>
      </c>
      <c r="B101" s="131">
        <v>0</v>
      </c>
      <c r="C101" s="131">
        <v>0</v>
      </c>
      <c r="D101" s="131">
        <v>0</v>
      </c>
      <c r="E101" s="131">
        <v>0</v>
      </c>
      <c r="F101" s="131">
        <v>0</v>
      </c>
      <c r="G101" s="131">
        <v>0</v>
      </c>
      <c r="H101" s="131">
        <v>1</v>
      </c>
      <c r="I101" s="131">
        <v>1</v>
      </c>
      <c r="J101" s="131">
        <v>1</v>
      </c>
      <c r="K101" s="131">
        <v>1</v>
      </c>
      <c r="L101" s="131">
        <v>0</v>
      </c>
      <c r="M101" s="131">
        <v>0</v>
      </c>
      <c r="N101" s="131">
        <v>0</v>
      </c>
      <c r="O101" s="131">
        <v>0</v>
      </c>
      <c r="P101" s="131">
        <v>0</v>
      </c>
      <c r="Q101" s="131">
        <v>0</v>
      </c>
      <c r="R101" s="131">
        <v>0</v>
      </c>
      <c r="S101" s="131">
        <v>0</v>
      </c>
      <c r="T101" s="132">
        <v>0</v>
      </c>
    </row>
    <row r="102" spans="1:20" x14ac:dyDescent="0.35">
      <c r="A102" s="130">
        <v>5</v>
      </c>
      <c r="B102" s="131">
        <v>0</v>
      </c>
      <c r="C102" s="131">
        <v>0</v>
      </c>
      <c r="D102" s="131">
        <v>0</v>
      </c>
      <c r="E102" s="131">
        <v>0</v>
      </c>
      <c r="F102" s="131">
        <v>0</v>
      </c>
      <c r="G102" s="131">
        <v>0</v>
      </c>
      <c r="H102" s="131">
        <v>2</v>
      </c>
      <c r="I102" s="131">
        <v>2</v>
      </c>
      <c r="J102" s="131">
        <v>2</v>
      </c>
      <c r="K102" s="131">
        <v>2</v>
      </c>
      <c r="L102" s="131">
        <v>0</v>
      </c>
      <c r="M102" s="131">
        <v>0</v>
      </c>
      <c r="N102" s="131">
        <v>0</v>
      </c>
      <c r="O102" s="131">
        <v>0</v>
      </c>
      <c r="P102" s="131">
        <v>0</v>
      </c>
      <c r="Q102" s="131">
        <v>0</v>
      </c>
      <c r="R102" s="131">
        <v>0</v>
      </c>
      <c r="S102" s="131">
        <v>0</v>
      </c>
      <c r="T102" s="132">
        <v>0</v>
      </c>
    </row>
    <row r="103" spans="1:20" x14ac:dyDescent="0.35">
      <c r="A103" s="130">
        <v>6</v>
      </c>
      <c r="B103" s="131">
        <v>0</v>
      </c>
      <c r="C103" s="131">
        <v>0</v>
      </c>
      <c r="D103" s="131">
        <v>0</v>
      </c>
      <c r="E103" s="131">
        <v>0</v>
      </c>
      <c r="F103" s="131">
        <v>0</v>
      </c>
      <c r="G103" s="131">
        <v>0</v>
      </c>
      <c r="H103" s="131">
        <v>2</v>
      </c>
      <c r="I103" s="131">
        <v>2</v>
      </c>
      <c r="J103" s="131">
        <v>2</v>
      </c>
      <c r="K103" s="131">
        <v>2</v>
      </c>
      <c r="L103" s="131">
        <v>0</v>
      </c>
      <c r="M103" s="131">
        <v>0</v>
      </c>
      <c r="N103" s="131">
        <v>0</v>
      </c>
      <c r="O103" s="131">
        <v>0</v>
      </c>
      <c r="P103" s="131">
        <v>0</v>
      </c>
      <c r="Q103" s="131">
        <v>0</v>
      </c>
      <c r="R103" s="131">
        <v>0</v>
      </c>
      <c r="S103" s="131">
        <v>0</v>
      </c>
      <c r="T103" s="132">
        <v>0</v>
      </c>
    </row>
    <row r="104" spans="1:20" x14ac:dyDescent="0.35">
      <c r="A104" s="130">
        <v>7</v>
      </c>
      <c r="B104" s="131">
        <v>0</v>
      </c>
      <c r="C104" s="131">
        <v>0</v>
      </c>
      <c r="D104" s="131">
        <v>0</v>
      </c>
      <c r="E104" s="131">
        <v>0</v>
      </c>
      <c r="F104" s="131">
        <v>0</v>
      </c>
      <c r="G104" s="131">
        <v>0</v>
      </c>
      <c r="H104" s="131">
        <v>3</v>
      </c>
      <c r="I104" s="131">
        <v>3</v>
      </c>
      <c r="J104" s="131">
        <v>3</v>
      </c>
      <c r="K104" s="131">
        <v>3</v>
      </c>
      <c r="L104" s="131">
        <v>1</v>
      </c>
      <c r="M104" s="131">
        <v>1</v>
      </c>
      <c r="N104" s="131">
        <v>1</v>
      </c>
      <c r="O104" s="131">
        <v>0</v>
      </c>
      <c r="P104" s="131">
        <v>0</v>
      </c>
      <c r="Q104" s="131">
        <v>0</v>
      </c>
      <c r="R104" s="131">
        <v>0</v>
      </c>
      <c r="S104" s="131">
        <v>0</v>
      </c>
      <c r="T104" s="132">
        <v>0</v>
      </c>
    </row>
    <row r="105" spans="1:20" x14ac:dyDescent="0.35">
      <c r="A105" s="130">
        <v>8</v>
      </c>
      <c r="B105" s="131">
        <v>0</v>
      </c>
      <c r="C105" s="131">
        <v>0</v>
      </c>
      <c r="D105" s="131">
        <v>0</v>
      </c>
      <c r="E105" s="131">
        <v>0</v>
      </c>
      <c r="F105" s="131">
        <v>0</v>
      </c>
      <c r="G105" s="131">
        <v>0</v>
      </c>
      <c r="H105" s="131">
        <v>3</v>
      </c>
      <c r="I105" s="131">
        <v>3</v>
      </c>
      <c r="J105" s="131">
        <v>3</v>
      </c>
      <c r="K105" s="131">
        <v>3</v>
      </c>
      <c r="L105" s="131">
        <v>1</v>
      </c>
      <c r="M105" s="131">
        <v>1</v>
      </c>
      <c r="N105" s="131">
        <v>1</v>
      </c>
      <c r="O105" s="131">
        <v>0</v>
      </c>
      <c r="P105" s="131">
        <v>0</v>
      </c>
      <c r="Q105" s="131">
        <v>0</v>
      </c>
      <c r="R105" s="131">
        <v>0</v>
      </c>
      <c r="S105" s="131">
        <v>0</v>
      </c>
      <c r="T105" s="132">
        <v>0</v>
      </c>
    </row>
    <row r="106" spans="1:20" x14ac:dyDescent="0.35">
      <c r="A106" s="130">
        <v>9</v>
      </c>
      <c r="B106" s="131">
        <v>0</v>
      </c>
      <c r="C106" s="131">
        <v>0</v>
      </c>
      <c r="D106" s="131">
        <v>0</v>
      </c>
      <c r="E106" s="131">
        <v>0</v>
      </c>
      <c r="F106" s="131">
        <v>0</v>
      </c>
      <c r="G106" s="131">
        <v>0</v>
      </c>
      <c r="H106" s="131">
        <v>4</v>
      </c>
      <c r="I106" s="131">
        <v>4</v>
      </c>
      <c r="J106" s="131">
        <v>4</v>
      </c>
      <c r="K106" s="131">
        <v>4</v>
      </c>
      <c r="L106" s="131">
        <v>2</v>
      </c>
      <c r="M106" s="131">
        <v>2</v>
      </c>
      <c r="N106" s="131">
        <v>2</v>
      </c>
      <c r="O106" s="131">
        <v>0</v>
      </c>
      <c r="P106" s="131">
        <v>0</v>
      </c>
      <c r="Q106" s="131">
        <v>0</v>
      </c>
      <c r="R106" s="131">
        <v>0</v>
      </c>
      <c r="S106" s="131">
        <v>0</v>
      </c>
      <c r="T106" s="132">
        <v>0</v>
      </c>
    </row>
    <row r="107" spans="1:20" x14ac:dyDescent="0.35">
      <c r="A107" s="130">
        <v>10</v>
      </c>
      <c r="B107" s="131">
        <v>0</v>
      </c>
      <c r="C107" s="131">
        <v>0</v>
      </c>
      <c r="D107" s="131">
        <v>0</v>
      </c>
      <c r="E107" s="131">
        <v>0</v>
      </c>
      <c r="F107" s="131">
        <v>0</v>
      </c>
      <c r="G107" s="131">
        <v>0</v>
      </c>
      <c r="H107" s="131">
        <v>4</v>
      </c>
      <c r="I107" s="131">
        <v>4</v>
      </c>
      <c r="J107" s="131">
        <v>4</v>
      </c>
      <c r="K107" s="131">
        <v>4</v>
      </c>
      <c r="L107" s="131">
        <v>2</v>
      </c>
      <c r="M107" s="131">
        <v>2</v>
      </c>
      <c r="N107" s="131">
        <v>2</v>
      </c>
      <c r="O107" s="131">
        <v>0</v>
      </c>
      <c r="P107" s="131">
        <v>0</v>
      </c>
      <c r="Q107" s="131">
        <v>0</v>
      </c>
      <c r="R107" s="131">
        <v>0</v>
      </c>
      <c r="S107" s="131">
        <v>0</v>
      </c>
      <c r="T107" s="132">
        <v>0</v>
      </c>
    </row>
    <row r="108" spans="1:20" x14ac:dyDescent="0.35">
      <c r="A108" s="130">
        <v>11</v>
      </c>
      <c r="B108" s="131">
        <v>0</v>
      </c>
      <c r="C108" s="131">
        <v>0</v>
      </c>
      <c r="D108" s="131">
        <v>0</v>
      </c>
      <c r="E108" s="131">
        <v>0</v>
      </c>
      <c r="F108" s="131">
        <v>0</v>
      </c>
      <c r="G108" s="131">
        <v>0</v>
      </c>
      <c r="H108" s="131">
        <v>5</v>
      </c>
      <c r="I108" s="131">
        <v>5</v>
      </c>
      <c r="J108" s="131">
        <v>5</v>
      </c>
      <c r="K108" s="131">
        <v>5</v>
      </c>
      <c r="L108" s="131">
        <v>3</v>
      </c>
      <c r="M108" s="131">
        <v>3</v>
      </c>
      <c r="N108" s="131">
        <v>3</v>
      </c>
      <c r="O108" s="131">
        <v>1</v>
      </c>
      <c r="P108" s="131">
        <v>1</v>
      </c>
      <c r="Q108" s="131">
        <v>1</v>
      </c>
      <c r="R108" s="131">
        <v>1</v>
      </c>
      <c r="S108" s="131">
        <v>1</v>
      </c>
      <c r="T108" s="132">
        <v>1</v>
      </c>
    </row>
    <row r="109" spans="1:20" x14ac:dyDescent="0.35">
      <c r="A109" s="130">
        <v>12</v>
      </c>
      <c r="B109" s="121">
        <v>0</v>
      </c>
      <c r="C109" s="121">
        <v>0</v>
      </c>
      <c r="D109" s="121">
        <v>0</v>
      </c>
      <c r="E109" s="121">
        <v>0</v>
      </c>
      <c r="F109" s="121">
        <v>0</v>
      </c>
      <c r="G109" s="121">
        <v>0</v>
      </c>
      <c r="H109" s="121">
        <v>5</v>
      </c>
      <c r="I109" s="121">
        <v>5</v>
      </c>
      <c r="J109" s="121">
        <v>5</v>
      </c>
      <c r="K109" s="121">
        <v>5</v>
      </c>
      <c r="L109" s="131">
        <v>3</v>
      </c>
      <c r="M109" s="131">
        <v>3</v>
      </c>
      <c r="N109" s="131">
        <v>3</v>
      </c>
      <c r="O109" s="131">
        <v>1</v>
      </c>
      <c r="P109" s="131">
        <v>1</v>
      </c>
      <c r="Q109" s="131">
        <v>1</v>
      </c>
      <c r="R109" s="131">
        <v>1</v>
      </c>
      <c r="S109" s="131">
        <v>1</v>
      </c>
      <c r="T109" s="132">
        <v>1</v>
      </c>
    </row>
    <row r="110" spans="1:20" x14ac:dyDescent="0.35">
      <c r="A110" s="130">
        <v>13</v>
      </c>
      <c r="B110" s="121">
        <v>0</v>
      </c>
      <c r="C110" s="121">
        <v>0</v>
      </c>
      <c r="D110" s="121">
        <v>0</v>
      </c>
      <c r="E110" s="121">
        <v>0</v>
      </c>
      <c r="F110" s="121">
        <v>0</v>
      </c>
      <c r="G110" s="121">
        <v>0</v>
      </c>
      <c r="H110" s="121">
        <v>6</v>
      </c>
      <c r="I110" s="121">
        <v>6</v>
      </c>
      <c r="J110" s="121">
        <v>6</v>
      </c>
      <c r="K110" s="121">
        <v>6</v>
      </c>
      <c r="L110" s="131">
        <v>4</v>
      </c>
      <c r="M110" s="131">
        <v>4</v>
      </c>
      <c r="N110" s="131">
        <v>4</v>
      </c>
      <c r="O110" s="131">
        <v>2</v>
      </c>
      <c r="P110" s="131">
        <v>2</v>
      </c>
      <c r="Q110" s="131">
        <v>2</v>
      </c>
      <c r="R110" s="131">
        <v>2</v>
      </c>
      <c r="S110" s="131">
        <v>2</v>
      </c>
      <c r="T110" s="132">
        <v>2</v>
      </c>
    </row>
    <row r="111" spans="1:20" x14ac:dyDescent="0.35">
      <c r="A111" s="130">
        <v>14</v>
      </c>
      <c r="B111" s="121">
        <v>0</v>
      </c>
      <c r="C111" s="121">
        <v>0</v>
      </c>
      <c r="D111" s="121">
        <v>0</v>
      </c>
      <c r="E111" s="121">
        <v>0</v>
      </c>
      <c r="F111" s="121">
        <v>0</v>
      </c>
      <c r="G111" s="121">
        <v>0</v>
      </c>
      <c r="H111" s="121">
        <v>6</v>
      </c>
      <c r="I111" s="121">
        <v>6</v>
      </c>
      <c r="J111" s="121">
        <v>6</v>
      </c>
      <c r="K111" s="121">
        <v>6</v>
      </c>
      <c r="L111" s="131">
        <v>4</v>
      </c>
      <c r="M111" s="131">
        <v>4</v>
      </c>
      <c r="N111" s="131">
        <v>4</v>
      </c>
      <c r="O111" s="131">
        <v>2</v>
      </c>
      <c r="P111" s="131">
        <v>2</v>
      </c>
      <c r="Q111" s="131">
        <v>2</v>
      </c>
      <c r="R111" s="131">
        <v>2</v>
      </c>
      <c r="S111" s="131">
        <v>2</v>
      </c>
      <c r="T111" s="132">
        <v>2</v>
      </c>
    </row>
    <row r="112" spans="1:20" x14ac:dyDescent="0.35">
      <c r="A112" s="130">
        <v>15</v>
      </c>
      <c r="B112" s="121">
        <v>0</v>
      </c>
      <c r="C112" s="121">
        <v>0</v>
      </c>
      <c r="D112" s="121">
        <v>0</v>
      </c>
      <c r="E112" s="121">
        <v>0</v>
      </c>
      <c r="F112" s="121">
        <v>0</v>
      </c>
      <c r="G112" s="121">
        <v>0</v>
      </c>
      <c r="H112" s="121">
        <v>7</v>
      </c>
      <c r="I112" s="121">
        <v>7</v>
      </c>
      <c r="J112" s="121">
        <v>7</v>
      </c>
      <c r="K112" s="121">
        <v>7</v>
      </c>
      <c r="L112" s="131">
        <v>5</v>
      </c>
      <c r="M112" s="131">
        <v>5</v>
      </c>
      <c r="N112" s="131">
        <v>5</v>
      </c>
      <c r="O112" s="131">
        <v>3</v>
      </c>
      <c r="P112" s="131">
        <v>3</v>
      </c>
      <c r="Q112" s="131">
        <v>3</v>
      </c>
      <c r="R112" s="131">
        <v>3</v>
      </c>
      <c r="S112" s="131">
        <v>3</v>
      </c>
      <c r="T112" s="132">
        <v>3</v>
      </c>
    </row>
    <row r="113" spans="1:20" x14ac:dyDescent="0.35">
      <c r="A113" s="130">
        <v>16</v>
      </c>
      <c r="B113" s="121">
        <v>0</v>
      </c>
      <c r="C113" s="121">
        <v>0</v>
      </c>
      <c r="D113" s="121">
        <v>0</v>
      </c>
      <c r="E113" s="121">
        <v>0</v>
      </c>
      <c r="F113" s="121">
        <v>0</v>
      </c>
      <c r="G113" s="121">
        <v>0</v>
      </c>
      <c r="H113" s="121">
        <v>7</v>
      </c>
      <c r="I113" s="121">
        <v>7</v>
      </c>
      <c r="J113" s="121">
        <v>7</v>
      </c>
      <c r="K113" s="121">
        <v>7</v>
      </c>
      <c r="L113" s="121">
        <v>5</v>
      </c>
      <c r="M113" s="121">
        <v>5</v>
      </c>
      <c r="N113" s="121">
        <v>5</v>
      </c>
      <c r="O113" s="131">
        <v>3</v>
      </c>
      <c r="P113" s="131">
        <v>3</v>
      </c>
      <c r="Q113" s="131">
        <v>3</v>
      </c>
      <c r="R113" s="131">
        <v>3</v>
      </c>
      <c r="S113" s="131">
        <v>3</v>
      </c>
      <c r="T113" s="132">
        <v>3</v>
      </c>
    </row>
    <row r="114" spans="1:20" x14ac:dyDescent="0.35">
      <c r="A114" s="130">
        <v>17</v>
      </c>
      <c r="B114" s="121">
        <v>0</v>
      </c>
      <c r="C114" s="121">
        <v>0</v>
      </c>
      <c r="D114" s="121">
        <v>0</v>
      </c>
      <c r="E114" s="121">
        <v>0</v>
      </c>
      <c r="F114" s="121">
        <v>0</v>
      </c>
      <c r="G114" s="121">
        <v>0</v>
      </c>
      <c r="H114" s="121">
        <v>8</v>
      </c>
      <c r="I114" s="121">
        <v>8</v>
      </c>
      <c r="J114" s="121">
        <v>8</v>
      </c>
      <c r="K114" s="121">
        <v>8</v>
      </c>
      <c r="L114" s="121">
        <v>6</v>
      </c>
      <c r="M114" s="121">
        <v>6</v>
      </c>
      <c r="N114" s="121">
        <v>6</v>
      </c>
      <c r="O114" s="131">
        <v>4</v>
      </c>
      <c r="P114" s="131">
        <v>4</v>
      </c>
      <c r="Q114" s="131">
        <v>4</v>
      </c>
      <c r="R114" s="131">
        <v>4</v>
      </c>
      <c r="S114" s="131">
        <v>4</v>
      </c>
      <c r="T114" s="132">
        <v>4</v>
      </c>
    </row>
    <row r="115" spans="1:20" x14ac:dyDescent="0.35">
      <c r="A115" s="130">
        <v>18</v>
      </c>
      <c r="B115" s="121">
        <v>0</v>
      </c>
      <c r="C115" s="121">
        <v>0</v>
      </c>
      <c r="D115" s="121">
        <v>0</v>
      </c>
      <c r="E115" s="121">
        <v>0</v>
      </c>
      <c r="F115" s="121">
        <v>0</v>
      </c>
      <c r="G115" s="121">
        <v>0</v>
      </c>
      <c r="H115" s="121">
        <v>8</v>
      </c>
      <c r="I115" s="121">
        <v>8</v>
      </c>
      <c r="J115" s="121">
        <v>8</v>
      </c>
      <c r="K115" s="121">
        <v>8</v>
      </c>
      <c r="L115" s="121">
        <v>6</v>
      </c>
      <c r="M115" s="121">
        <v>6</v>
      </c>
      <c r="N115" s="121">
        <v>6</v>
      </c>
      <c r="O115" s="131">
        <v>4</v>
      </c>
      <c r="P115" s="131">
        <v>4</v>
      </c>
      <c r="Q115" s="131">
        <v>4</v>
      </c>
      <c r="R115" s="131">
        <v>4</v>
      </c>
      <c r="S115" s="131">
        <v>4</v>
      </c>
      <c r="T115" s="132">
        <v>4</v>
      </c>
    </row>
    <row r="116" spans="1:20" x14ac:dyDescent="0.35">
      <c r="A116" s="130">
        <v>19</v>
      </c>
      <c r="B116" s="121">
        <v>0</v>
      </c>
      <c r="C116" s="121">
        <v>0</v>
      </c>
      <c r="D116" s="121">
        <v>0</v>
      </c>
      <c r="E116" s="121">
        <v>0</v>
      </c>
      <c r="F116" s="121">
        <v>0</v>
      </c>
      <c r="G116" s="121">
        <v>0</v>
      </c>
      <c r="H116" s="121">
        <v>9</v>
      </c>
      <c r="I116" s="121">
        <v>9</v>
      </c>
      <c r="J116" s="121">
        <v>9</v>
      </c>
      <c r="K116" s="121">
        <v>9</v>
      </c>
      <c r="L116" s="121">
        <v>7</v>
      </c>
      <c r="M116" s="121">
        <v>7</v>
      </c>
      <c r="N116" s="121">
        <v>7</v>
      </c>
      <c r="O116" s="131">
        <v>5</v>
      </c>
      <c r="P116" s="131">
        <v>5</v>
      </c>
      <c r="Q116" s="131">
        <v>5</v>
      </c>
      <c r="R116" s="131">
        <v>5</v>
      </c>
      <c r="S116" s="131">
        <v>5</v>
      </c>
      <c r="T116" s="132">
        <v>5</v>
      </c>
    </row>
    <row r="117" spans="1:20" x14ac:dyDescent="0.35">
      <c r="A117" s="130">
        <v>20</v>
      </c>
      <c r="B117" s="121">
        <v>0</v>
      </c>
      <c r="C117" s="121">
        <v>0</v>
      </c>
      <c r="D117" s="121">
        <v>0</v>
      </c>
      <c r="E117" s="121">
        <v>0</v>
      </c>
      <c r="F117" s="121">
        <v>0</v>
      </c>
      <c r="G117" s="121">
        <v>0</v>
      </c>
      <c r="H117" s="121">
        <v>9</v>
      </c>
      <c r="I117" s="121">
        <v>9</v>
      </c>
      <c r="J117" s="121">
        <v>9</v>
      </c>
      <c r="K117" s="121">
        <v>9</v>
      </c>
      <c r="L117" s="121">
        <v>7</v>
      </c>
      <c r="M117" s="121">
        <v>7</v>
      </c>
      <c r="N117" s="121">
        <v>7</v>
      </c>
      <c r="O117" s="121">
        <v>5</v>
      </c>
      <c r="P117" s="121">
        <v>5</v>
      </c>
      <c r="Q117" s="121">
        <v>5</v>
      </c>
      <c r="R117" s="121">
        <v>5</v>
      </c>
      <c r="S117" s="121">
        <v>5</v>
      </c>
      <c r="T117" s="133">
        <v>5</v>
      </c>
    </row>
    <row r="118" spans="1:20" x14ac:dyDescent="0.35">
      <c r="A118" s="130">
        <v>21</v>
      </c>
      <c r="B118" s="121">
        <v>0</v>
      </c>
      <c r="C118" s="121">
        <v>0</v>
      </c>
      <c r="D118" s="121">
        <v>0</v>
      </c>
      <c r="E118" s="121">
        <v>0</v>
      </c>
      <c r="F118" s="121">
        <v>0</v>
      </c>
      <c r="G118" s="121">
        <v>0</v>
      </c>
      <c r="H118" s="121">
        <v>10</v>
      </c>
      <c r="I118" s="121">
        <v>10</v>
      </c>
      <c r="J118" s="121">
        <v>10</v>
      </c>
      <c r="K118" s="121">
        <v>10</v>
      </c>
      <c r="L118" s="121">
        <v>8</v>
      </c>
      <c r="M118" s="121">
        <v>8</v>
      </c>
      <c r="N118" s="121">
        <v>8</v>
      </c>
      <c r="O118" s="121">
        <v>6</v>
      </c>
      <c r="P118" s="121">
        <v>6</v>
      </c>
      <c r="Q118" s="121">
        <v>6</v>
      </c>
      <c r="R118" s="121">
        <v>6</v>
      </c>
      <c r="S118" s="121">
        <v>6</v>
      </c>
      <c r="T118" s="133">
        <v>6</v>
      </c>
    </row>
    <row r="119" spans="1:20" x14ac:dyDescent="0.35">
      <c r="A119" s="130">
        <v>22</v>
      </c>
      <c r="B119" s="121">
        <v>0</v>
      </c>
      <c r="C119" s="121">
        <v>0</v>
      </c>
      <c r="D119" s="121">
        <v>0</v>
      </c>
      <c r="E119" s="121">
        <v>0</v>
      </c>
      <c r="F119" s="121">
        <v>0</v>
      </c>
      <c r="G119" s="121">
        <v>0</v>
      </c>
      <c r="H119" s="121">
        <v>10</v>
      </c>
      <c r="I119" s="121">
        <v>10</v>
      </c>
      <c r="J119" s="121">
        <v>10</v>
      </c>
      <c r="K119" s="121">
        <v>10</v>
      </c>
      <c r="L119" s="121">
        <v>8</v>
      </c>
      <c r="M119" s="121">
        <v>8</v>
      </c>
      <c r="N119" s="121">
        <v>8</v>
      </c>
      <c r="O119" s="121">
        <v>6</v>
      </c>
      <c r="P119" s="121">
        <v>6</v>
      </c>
      <c r="Q119" s="121">
        <v>6</v>
      </c>
      <c r="R119" s="121">
        <v>6</v>
      </c>
      <c r="S119" s="121">
        <v>6</v>
      </c>
      <c r="T119" s="133">
        <v>6</v>
      </c>
    </row>
    <row r="120" spans="1:20" x14ac:dyDescent="0.35">
      <c r="A120" s="130">
        <v>23</v>
      </c>
      <c r="B120" s="121">
        <v>0</v>
      </c>
      <c r="C120" s="121">
        <v>0</v>
      </c>
      <c r="D120" s="121">
        <v>0</v>
      </c>
      <c r="E120" s="121">
        <v>0</v>
      </c>
      <c r="F120" s="121">
        <v>0</v>
      </c>
      <c r="G120" s="121">
        <v>0</v>
      </c>
      <c r="H120" s="121">
        <v>10</v>
      </c>
      <c r="I120" s="121">
        <v>10</v>
      </c>
      <c r="J120" s="121">
        <v>10</v>
      </c>
      <c r="K120" s="121">
        <v>10</v>
      </c>
      <c r="L120" s="121">
        <v>9</v>
      </c>
      <c r="M120" s="121">
        <v>9</v>
      </c>
      <c r="N120" s="121">
        <v>9</v>
      </c>
      <c r="O120" s="121">
        <v>7</v>
      </c>
      <c r="P120" s="121">
        <v>7</v>
      </c>
      <c r="Q120" s="121">
        <v>7</v>
      </c>
      <c r="R120" s="121">
        <v>7</v>
      </c>
      <c r="S120" s="121">
        <v>7</v>
      </c>
      <c r="T120" s="133">
        <v>7</v>
      </c>
    </row>
    <row r="121" spans="1:20" x14ac:dyDescent="0.35">
      <c r="A121" s="130">
        <v>24</v>
      </c>
      <c r="B121" s="121">
        <v>0</v>
      </c>
      <c r="C121" s="121">
        <v>0</v>
      </c>
      <c r="D121" s="121">
        <v>0</v>
      </c>
      <c r="E121" s="121">
        <v>0</v>
      </c>
      <c r="F121" s="121">
        <v>0</v>
      </c>
      <c r="G121" s="121">
        <v>0</v>
      </c>
      <c r="H121" s="121">
        <v>10</v>
      </c>
      <c r="I121" s="121">
        <v>10</v>
      </c>
      <c r="J121" s="121">
        <v>10</v>
      </c>
      <c r="K121" s="121">
        <v>10</v>
      </c>
      <c r="L121" s="121">
        <v>9</v>
      </c>
      <c r="M121" s="121">
        <v>9</v>
      </c>
      <c r="N121" s="121">
        <v>9</v>
      </c>
      <c r="O121" s="121">
        <v>7</v>
      </c>
      <c r="P121" s="121">
        <v>7</v>
      </c>
      <c r="Q121" s="121">
        <v>7</v>
      </c>
      <c r="R121" s="121">
        <v>7</v>
      </c>
      <c r="S121" s="121">
        <v>7</v>
      </c>
      <c r="T121" s="133">
        <v>7</v>
      </c>
    </row>
    <row r="122" spans="1:20" x14ac:dyDescent="0.35">
      <c r="A122" s="130">
        <v>25</v>
      </c>
      <c r="B122" s="121">
        <v>0</v>
      </c>
      <c r="C122" s="121">
        <v>0</v>
      </c>
      <c r="D122" s="121">
        <v>0</v>
      </c>
      <c r="E122" s="121">
        <v>0</v>
      </c>
      <c r="F122" s="121">
        <v>0</v>
      </c>
      <c r="G122" s="121">
        <v>0</v>
      </c>
      <c r="H122" s="121">
        <v>10</v>
      </c>
      <c r="I122" s="121">
        <v>10</v>
      </c>
      <c r="J122" s="121">
        <v>10</v>
      </c>
      <c r="K122" s="121">
        <v>10</v>
      </c>
      <c r="L122" s="121">
        <v>10</v>
      </c>
      <c r="M122" s="121">
        <v>10</v>
      </c>
      <c r="N122" s="121">
        <v>10</v>
      </c>
      <c r="O122" s="121">
        <v>8</v>
      </c>
      <c r="P122" s="121">
        <v>8</v>
      </c>
      <c r="Q122" s="121">
        <v>8</v>
      </c>
      <c r="R122" s="121">
        <v>8</v>
      </c>
      <c r="S122" s="121">
        <v>8</v>
      </c>
      <c r="T122" s="133">
        <v>8</v>
      </c>
    </row>
    <row r="123" spans="1:20" x14ac:dyDescent="0.35">
      <c r="A123" s="130">
        <v>26</v>
      </c>
      <c r="B123" s="121">
        <v>0</v>
      </c>
      <c r="C123" s="121">
        <v>0</v>
      </c>
      <c r="D123" s="121">
        <v>0</v>
      </c>
      <c r="E123" s="121">
        <v>0</v>
      </c>
      <c r="F123" s="121">
        <v>0</v>
      </c>
      <c r="G123" s="121">
        <v>0</v>
      </c>
      <c r="H123" s="121">
        <v>10</v>
      </c>
      <c r="I123" s="121">
        <v>10</v>
      </c>
      <c r="J123" s="121">
        <v>10</v>
      </c>
      <c r="K123" s="121">
        <v>10</v>
      </c>
      <c r="L123" s="121">
        <v>10</v>
      </c>
      <c r="M123" s="121">
        <v>10</v>
      </c>
      <c r="N123" s="121">
        <v>10</v>
      </c>
      <c r="O123" s="121">
        <v>8</v>
      </c>
      <c r="P123" s="121">
        <v>8</v>
      </c>
      <c r="Q123" s="121">
        <v>8</v>
      </c>
      <c r="R123" s="121">
        <v>8</v>
      </c>
      <c r="S123" s="121">
        <v>8</v>
      </c>
      <c r="T123" s="133">
        <v>8</v>
      </c>
    </row>
    <row r="124" spans="1:20" x14ac:dyDescent="0.35">
      <c r="A124" s="130">
        <v>27</v>
      </c>
      <c r="B124" s="121">
        <v>0</v>
      </c>
      <c r="C124" s="121">
        <v>0</v>
      </c>
      <c r="D124" s="121">
        <v>0</v>
      </c>
      <c r="E124" s="121">
        <v>0</v>
      </c>
      <c r="F124" s="121">
        <v>0</v>
      </c>
      <c r="G124" s="121">
        <v>0</v>
      </c>
      <c r="H124" s="121">
        <v>10</v>
      </c>
      <c r="I124" s="121">
        <v>10</v>
      </c>
      <c r="J124" s="121">
        <v>10</v>
      </c>
      <c r="K124" s="121">
        <v>10</v>
      </c>
      <c r="L124" s="121">
        <v>10</v>
      </c>
      <c r="M124" s="121">
        <v>10</v>
      </c>
      <c r="N124" s="121">
        <v>10</v>
      </c>
      <c r="O124" s="121">
        <v>9</v>
      </c>
      <c r="P124" s="121">
        <v>9</v>
      </c>
      <c r="Q124" s="121">
        <v>9</v>
      </c>
      <c r="R124" s="121">
        <v>9</v>
      </c>
      <c r="S124" s="121">
        <v>9</v>
      </c>
      <c r="T124" s="133">
        <v>9</v>
      </c>
    </row>
    <row r="125" spans="1:20" x14ac:dyDescent="0.35">
      <c r="A125" s="130">
        <v>28</v>
      </c>
      <c r="B125" s="121">
        <v>0</v>
      </c>
      <c r="C125" s="121">
        <v>0</v>
      </c>
      <c r="D125" s="121">
        <v>0</v>
      </c>
      <c r="E125" s="121">
        <v>0</v>
      </c>
      <c r="F125" s="121">
        <v>0</v>
      </c>
      <c r="G125" s="121">
        <v>0</v>
      </c>
      <c r="H125" s="121">
        <v>10</v>
      </c>
      <c r="I125" s="121">
        <v>10</v>
      </c>
      <c r="J125" s="121">
        <v>10</v>
      </c>
      <c r="K125" s="121">
        <v>10</v>
      </c>
      <c r="L125" s="121">
        <v>10</v>
      </c>
      <c r="M125" s="121">
        <v>10</v>
      </c>
      <c r="N125" s="121">
        <v>10</v>
      </c>
      <c r="O125" s="121">
        <v>9</v>
      </c>
      <c r="P125" s="121">
        <v>9</v>
      </c>
      <c r="Q125" s="121">
        <v>9</v>
      </c>
      <c r="R125" s="121">
        <v>9</v>
      </c>
      <c r="S125" s="121">
        <v>9</v>
      </c>
      <c r="T125" s="133">
        <v>9</v>
      </c>
    </row>
    <row r="126" spans="1:20" x14ac:dyDescent="0.35">
      <c r="A126" s="130">
        <v>29</v>
      </c>
      <c r="B126" s="121">
        <v>0</v>
      </c>
      <c r="C126" s="121">
        <v>0</v>
      </c>
      <c r="D126" s="121">
        <v>0</v>
      </c>
      <c r="E126" s="121">
        <v>0</v>
      </c>
      <c r="F126" s="121">
        <v>0</v>
      </c>
      <c r="G126" s="121">
        <v>0</v>
      </c>
      <c r="H126" s="121">
        <v>10</v>
      </c>
      <c r="I126" s="121">
        <v>10</v>
      </c>
      <c r="J126" s="121">
        <v>10</v>
      </c>
      <c r="K126" s="121">
        <v>10</v>
      </c>
      <c r="L126" s="121">
        <v>10</v>
      </c>
      <c r="M126" s="121">
        <v>10</v>
      </c>
      <c r="N126" s="121">
        <v>10</v>
      </c>
      <c r="O126" s="121">
        <v>10</v>
      </c>
      <c r="P126" s="121">
        <v>10</v>
      </c>
      <c r="Q126" s="121">
        <v>10</v>
      </c>
      <c r="R126" s="121">
        <v>10</v>
      </c>
      <c r="S126" s="121">
        <v>10</v>
      </c>
      <c r="T126" s="133">
        <v>10</v>
      </c>
    </row>
    <row r="127" spans="1:20" x14ac:dyDescent="0.35">
      <c r="A127" s="126">
        <v>30</v>
      </c>
      <c r="B127" s="134">
        <v>0</v>
      </c>
      <c r="C127" s="134">
        <v>0</v>
      </c>
      <c r="D127" s="134">
        <v>0</v>
      </c>
      <c r="E127" s="134">
        <v>0</v>
      </c>
      <c r="F127" s="134">
        <v>0</v>
      </c>
      <c r="G127" s="134">
        <v>0</v>
      </c>
      <c r="H127" s="134">
        <v>10</v>
      </c>
      <c r="I127" s="134">
        <v>10</v>
      </c>
      <c r="J127" s="134">
        <v>10</v>
      </c>
      <c r="K127" s="134">
        <v>10</v>
      </c>
      <c r="L127" s="134">
        <v>10</v>
      </c>
      <c r="M127" s="134">
        <v>10</v>
      </c>
      <c r="N127" s="134">
        <v>10</v>
      </c>
      <c r="O127" s="134">
        <v>10</v>
      </c>
      <c r="P127" s="134">
        <v>10</v>
      </c>
      <c r="Q127" s="134">
        <v>10</v>
      </c>
      <c r="R127" s="134">
        <v>10</v>
      </c>
      <c r="S127" s="134">
        <v>10</v>
      </c>
      <c r="T127" s="135">
        <v>10</v>
      </c>
    </row>
    <row r="128" spans="1:20" ht="15" thickBot="1" x14ac:dyDescent="0.4">
      <c r="A128" s="136"/>
      <c r="B128" s="136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</row>
    <row r="129" spans="1:20" x14ac:dyDescent="0.35">
      <c r="A129" s="213" t="s">
        <v>89</v>
      </c>
      <c r="B129" s="214"/>
      <c r="C129" s="214"/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  <c r="R129" s="214"/>
      <c r="S129" s="214"/>
      <c r="T129" s="215"/>
    </row>
    <row r="130" spans="1:20" ht="15" thickBot="1" x14ac:dyDescent="0.4">
      <c r="A130" s="126" t="s">
        <v>346</v>
      </c>
      <c r="B130" s="127" t="s">
        <v>286</v>
      </c>
      <c r="C130" s="127" t="s">
        <v>287</v>
      </c>
      <c r="D130" s="127" t="s">
        <v>288</v>
      </c>
      <c r="E130" s="127" t="s">
        <v>289</v>
      </c>
      <c r="F130" s="127" t="s">
        <v>290</v>
      </c>
      <c r="G130" s="127" t="s">
        <v>291</v>
      </c>
      <c r="H130" s="127" t="s">
        <v>292</v>
      </c>
      <c r="I130" s="127" t="s">
        <v>293</v>
      </c>
      <c r="J130" s="127" t="s">
        <v>294</v>
      </c>
      <c r="K130" s="127" t="s">
        <v>295</v>
      </c>
      <c r="L130" s="127" t="s">
        <v>296</v>
      </c>
      <c r="M130" s="127" t="s">
        <v>297</v>
      </c>
      <c r="N130" s="127" t="s">
        <v>298</v>
      </c>
      <c r="O130" s="127" t="s">
        <v>299</v>
      </c>
      <c r="P130" s="127" t="s">
        <v>300</v>
      </c>
      <c r="Q130" s="127" t="s">
        <v>301</v>
      </c>
      <c r="R130" s="127" t="s">
        <v>302</v>
      </c>
      <c r="S130" s="127" t="s">
        <v>303</v>
      </c>
      <c r="T130" s="128" t="s">
        <v>304</v>
      </c>
    </row>
    <row r="131" spans="1:20" x14ac:dyDescent="0.35">
      <c r="A131" s="123">
        <v>0</v>
      </c>
      <c r="B131" s="15">
        <v>0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29">
        <v>0</v>
      </c>
    </row>
    <row r="132" spans="1:20" x14ac:dyDescent="0.35">
      <c r="A132" s="130">
        <v>1</v>
      </c>
      <c r="B132" s="131">
        <v>0</v>
      </c>
      <c r="C132" s="131">
        <v>0</v>
      </c>
      <c r="D132" s="131">
        <v>0</v>
      </c>
      <c r="E132" s="131">
        <v>0</v>
      </c>
      <c r="F132" s="131">
        <v>0</v>
      </c>
      <c r="G132" s="131">
        <v>0</v>
      </c>
      <c r="H132" s="131">
        <v>0</v>
      </c>
      <c r="I132" s="131">
        <v>0</v>
      </c>
      <c r="J132" s="131">
        <v>0</v>
      </c>
      <c r="K132" s="131">
        <v>0</v>
      </c>
      <c r="L132" s="131">
        <v>0</v>
      </c>
      <c r="M132" s="131">
        <v>0</v>
      </c>
      <c r="N132" s="131">
        <v>0</v>
      </c>
      <c r="O132" s="131">
        <v>1</v>
      </c>
      <c r="P132" s="131">
        <v>1</v>
      </c>
      <c r="Q132" s="131">
        <v>1</v>
      </c>
      <c r="R132" s="131">
        <v>1</v>
      </c>
      <c r="S132" s="131">
        <v>1</v>
      </c>
      <c r="T132" s="132">
        <v>1</v>
      </c>
    </row>
    <row r="133" spans="1:20" x14ac:dyDescent="0.35">
      <c r="A133" s="130">
        <v>2</v>
      </c>
      <c r="B133" s="131">
        <v>0</v>
      </c>
      <c r="C133" s="131">
        <v>0</v>
      </c>
      <c r="D133" s="131">
        <v>0</v>
      </c>
      <c r="E133" s="131">
        <v>0</v>
      </c>
      <c r="F133" s="131">
        <v>0</v>
      </c>
      <c r="G133" s="131">
        <v>0</v>
      </c>
      <c r="H133" s="131">
        <v>0</v>
      </c>
      <c r="I133" s="131">
        <v>0</v>
      </c>
      <c r="J133" s="131">
        <v>0</v>
      </c>
      <c r="K133" s="131">
        <v>0</v>
      </c>
      <c r="L133" s="131">
        <v>0</v>
      </c>
      <c r="M133" s="131">
        <v>0</v>
      </c>
      <c r="N133" s="131">
        <v>0</v>
      </c>
      <c r="O133" s="131">
        <v>2</v>
      </c>
      <c r="P133" s="131">
        <v>2</v>
      </c>
      <c r="Q133" s="131">
        <v>2</v>
      </c>
      <c r="R133" s="131">
        <v>2</v>
      </c>
      <c r="S133" s="131">
        <v>2</v>
      </c>
      <c r="T133" s="132">
        <v>2</v>
      </c>
    </row>
    <row r="134" spans="1:20" x14ac:dyDescent="0.35">
      <c r="A134" s="130">
        <v>3</v>
      </c>
      <c r="B134" s="131">
        <v>0</v>
      </c>
      <c r="C134" s="131">
        <v>0</v>
      </c>
      <c r="D134" s="131">
        <v>0</v>
      </c>
      <c r="E134" s="131">
        <v>0</v>
      </c>
      <c r="F134" s="131">
        <v>0</v>
      </c>
      <c r="G134" s="131">
        <v>0</v>
      </c>
      <c r="H134" s="131">
        <v>0</v>
      </c>
      <c r="I134" s="131">
        <v>0</v>
      </c>
      <c r="J134" s="131">
        <v>0</v>
      </c>
      <c r="K134" s="131">
        <v>0</v>
      </c>
      <c r="L134" s="131">
        <v>0</v>
      </c>
      <c r="M134" s="131">
        <v>0</v>
      </c>
      <c r="N134" s="131">
        <v>0</v>
      </c>
      <c r="O134" s="131">
        <v>3</v>
      </c>
      <c r="P134" s="131">
        <v>3</v>
      </c>
      <c r="Q134" s="131">
        <v>3</v>
      </c>
      <c r="R134" s="131">
        <v>3</v>
      </c>
      <c r="S134" s="131">
        <v>3</v>
      </c>
      <c r="T134" s="132">
        <v>3</v>
      </c>
    </row>
    <row r="135" spans="1:20" x14ac:dyDescent="0.35">
      <c r="A135" s="130">
        <v>4</v>
      </c>
      <c r="B135" s="131">
        <v>0</v>
      </c>
      <c r="C135" s="131">
        <v>0</v>
      </c>
      <c r="D135" s="131">
        <v>0</v>
      </c>
      <c r="E135" s="131">
        <v>0</v>
      </c>
      <c r="F135" s="131">
        <v>0</v>
      </c>
      <c r="G135" s="131">
        <v>0</v>
      </c>
      <c r="H135" s="131">
        <v>0</v>
      </c>
      <c r="I135" s="131">
        <v>0</v>
      </c>
      <c r="J135" s="131">
        <v>0</v>
      </c>
      <c r="K135" s="131">
        <v>0</v>
      </c>
      <c r="L135" s="131">
        <v>0</v>
      </c>
      <c r="M135" s="131">
        <v>0</v>
      </c>
      <c r="N135" s="131">
        <v>0</v>
      </c>
      <c r="O135" s="131">
        <v>4</v>
      </c>
      <c r="P135" s="131">
        <v>4</v>
      </c>
      <c r="Q135" s="131">
        <v>4</v>
      </c>
      <c r="R135" s="131">
        <v>4</v>
      </c>
      <c r="S135" s="131">
        <v>4</v>
      </c>
      <c r="T135" s="132">
        <v>4</v>
      </c>
    </row>
    <row r="136" spans="1:20" x14ac:dyDescent="0.35">
      <c r="A136" s="130">
        <v>5</v>
      </c>
      <c r="B136" s="131">
        <v>0</v>
      </c>
      <c r="C136" s="131">
        <v>0</v>
      </c>
      <c r="D136" s="131">
        <v>0</v>
      </c>
      <c r="E136" s="131">
        <v>0</v>
      </c>
      <c r="F136" s="131">
        <v>0</v>
      </c>
      <c r="G136" s="131">
        <v>0</v>
      </c>
      <c r="H136" s="131">
        <v>0</v>
      </c>
      <c r="I136" s="131">
        <v>0</v>
      </c>
      <c r="J136" s="131">
        <v>0</v>
      </c>
      <c r="K136" s="131">
        <v>0</v>
      </c>
      <c r="L136" s="131">
        <v>0</v>
      </c>
      <c r="M136" s="131">
        <v>0</v>
      </c>
      <c r="N136" s="131">
        <v>0</v>
      </c>
      <c r="O136" s="131">
        <v>5</v>
      </c>
      <c r="P136" s="131">
        <v>5</v>
      </c>
      <c r="Q136" s="131">
        <v>5</v>
      </c>
      <c r="R136" s="131">
        <v>5</v>
      </c>
      <c r="S136" s="131">
        <v>5</v>
      </c>
      <c r="T136" s="132">
        <v>5</v>
      </c>
    </row>
    <row r="137" spans="1:20" x14ac:dyDescent="0.35">
      <c r="A137" s="130">
        <v>6</v>
      </c>
      <c r="B137" s="131">
        <v>0</v>
      </c>
      <c r="C137" s="131">
        <v>0</v>
      </c>
      <c r="D137" s="131">
        <v>0</v>
      </c>
      <c r="E137" s="131">
        <v>0</v>
      </c>
      <c r="F137" s="131">
        <v>0</v>
      </c>
      <c r="G137" s="131">
        <v>0</v>
      </c>
      <c r="H137" s="131">
        <v>0</v>
      </c>
      <c r="I137" s="131">
        <v>0</v>
      </c>
      <c r="J137" s="131">
        <v>0</v>
      </c>
      <c r="K137" s="131">
        <v>0</v>
      </c>
      <c r="L137" s="131">
        <v>0</v>
      </c>
      <c r="M137" s="131">
        <v>0</v>
      </c>
      <c r="N137" s="131">
        <v>0</v>
      </c>
      <c r="O137" s="131">
        <v>6</v>
      </c>
      <c r="P137" s="131">
        <v>6</v>
      </c>
      <c r="Q137" s="131">
        <v>6</v>
      </c>
      <c r="R137" s="131">
        <v>6</v>
      </c>
      <c r="S137" s="131">
        <v>6</v>
      </c>
      <c r="T137" s="132">
        <v>6</v>
      </c>
    </row>
    <row r="138" spans="1:20" x14ac:dyDescent="0.35">
      <c r="A138" s="130">
        <v>7</v>
      </c>
      <c r="B138" s="131">
        <v>0</v>
      </c>
      <c r="C138" s="131">
        <v>0</v>
      </c>
      <c r="D138" s="131">
        <v>0</v>
      </c>
      <c r="E138" s="131">
        <v>0</v>
      </c>
      <c r="F138" s="131">
        <v>0</v>
      </c>
      <c r="G138" s="131">
        <v>0</v>
      </c>
      <c r="H138" s="131">
        <v>0</v>
      </c>
      <c r="I138" s="131">
        <v>0</v>
      </c>
      <c r="J138" s="131">
        <v>0</v>
      </c>
      <c r="K138" s="131">
        <v>0</v>
      </c>
      <c r="L138" s="131">
        <v>0</v>
      </c>
      <c r="M138" s="131">
        <v>0</v>
      </c>
      <c r="N138" s="131">
        <v>0</v>
      </c>
      <c r="O138" s="131">
        <v>7</v>
      </c>
      <c r="P138" s="131">
        <v>7</v>
      </c>
      <c r="Q138" s="131">
        <v>7</v>
      </c>
      <c r="R138" s="131">
        <v>7</v>
      </c>
      <c r="S138" s="131">
        <v>7</v>
      </c>
      <c r="T138" s="132">
        <v>7</v>
      </c>
    </row>
    <row r="139" spans="1:20" x14ac:dyDescent="0.35">
      <c r="A139" s="130">
        <v>8</v>
      </c>
      <c r="B139" s="131">
        <v>0</v>
      </c>
      <c r="C139" s="131">
        <v>0</v>
      </c>
      <c r="D139" s="131">
        <v>0</v>
      </c>
      <c r="E139" s="131">
        <v>0</v>
      </c>
      <c r="F139" s="131">
        <v>0</v>
      </c>
      <c r="G139" s="131">
        <v>0</v>
      </c>
      <c r="H139" s="131">
        <v>0</v>
      </c>
      <c r="I139" s="131">
        <v>0</v>
      </c>
      <c r="J139" s="131">
        <v>0</v>
      </c>
      <c r="K139" s="131">
        <v>0</v>
      </c>
      <c r="L139" s="131">
        <v>0</v>
      </c>
      <c r="M139" s="131">
        <v>0</v>
      </c>
      <c r="N139" s="131">
        <v>0</v>
      </c>
      <c r="O139" s="131">
        <v>8</v>
      </c>
      <c r="P139" s="131">
        <v>8</v>
      </c>
      <c r="Q139" s="131">
        <v>8</v>
      </c>
      <c r="R139" s="131">
        <v>8</v>
      </c>
      <c r="S139" s="131">
        <v>8</v>
      </c>
      <c r="T139" s="132">
        <v>8</v>
      </c>
    </row>
    <row r="140" spans="1:20" x14ac:dyDescent="0.35">
      <c r="A140" s="130">
        <v>9</v>
      </c>
      <c r="B140" s="131">
        <v>0</v>
      </c>
      <c r="C140" s="131">
        <v>0</v>
      </c>
      <c r="D140" s="131">
        <v>0</v>
      </c>
      <c r="E140" s="131">
        <v>0</v>
      </c>
      <c r="F140" s="131">
        <v>0</v>
      </c>
      <c r="G140" s="131">
        <v>0</v>
      </c>
      <c r="H140" s="131">
        <v>0</v>
      </c>
      <c r="I140" s="131">
        <v>0</v>
      </c>
      <c r="J140" s="131">
        <v>0</v>
      </c>
      <c r="K140" s="131">
        <v>0</v>
      </c>
      <c r="L140" s="131">
        <v>0</v>
      </c>
      <c r="M140" s="131">
        <v>0</v>
      </c>
      <c r="N140" s="131">
        <v>0</v>
      </c>
      <c r="O140" s="131">
        <v>9</v>
      </c>
      <c r="P140" s="131">
        <v>9</v>
      </c>
      <c r="Q140" s="131">
        <v>9</v>
      </c>
      <c r="R140" s="131">
        <v>9</v>
      </c>
      <c r="S140" s="131">
        <v>9</v>
      </c>
      <c r="T140" s="132">
        <v>9</v>
      </c>
    </row>
    <row r="141" spans="1:20" x14ac:dyDescent="0.35">
      <c r="A141" s="130">
        <v>10</v>
      </c>
      <c r="B141" s="131">
        <v>0</v>
      </c>
      <c r="C141" s="131">
        <v>0</v>
      </c>
      <c r="D141" s="131">
        <v>0</v>
      </c>
      <c r="E141" s="131">
        <v>0</v>
      </c>
      <c r="F141" s="131">
        <v>0</v>
      </c>
      <c r="G141" s="131">
        <v>0</v>
      </c>
      <c r="H141" s="131">
        <v>0</v>
      </c>
      <c r="I141" s="131">
        <v>0</v>
      </c>
      <c r="J141" s="131">
        <v>0</v>
      </c>
      <c r="K141" s="131">
        <v>0</v>
      </c>
      <c r="L141" s="131">
        <v>0</v>
      </c>
      <c r="M141" s="131">
        <v>0</v>
      </c>
      <c r="N141" s="131">
        <v>0</v>
      </c>
      <c r="O141" s="131">
        <v>10</v>
      </c>
      <c r="P141" s="131">
        <v>10</v>
      </c>
      <c r="Q141" s="131">
        <v>10</v>
      </c>
      <c r="R141" s="131">
        <v>10</v>
      </c>
      <c r="S141" s="131">
        <v>10</v>
      </c>
      <c r="T141" s="132">
        <v>10</v>
      </c>
    </row>
    <row r="142" spans="1:20" x14ac:dyDescent="0.35">
      <c r="A142" s="130">
        <v>11</v>
      </c>
      <c r="B142" s="131">
        <v>0</v>
      </c>
      <c r="C142" s="131">
        <v>0</v>
      </c>
      <c r="D142" s="131">
        <v>0</v>
      </c>
      <c r="E142" s="131">
        <v>0</v>
      </c>
      <c r="F142" s="131">
        <v>0</v>
      </c>
      <c r="G142" s="131">
        <v>0</v>
      </c>
      <c r="H142" s="131">
        <v>0</v>
      </c>
      <c r="I142" s="131">
        <v>0</v>
      </c>
      <c r="J142" s="131">
        <v>0</v>
      </c>
      <c r="K142" s="131">
        <v>0</v>
      </c>
      <c r="L142" s="131">
        <v>0</v>
      </c>
      <c r="M142" s="131">
        <v>0</v>
      </c>
      <c r="N142" s="131">
        <v>0</v>
      </c>
      <c r="O142" s="131">
        <v>10</v>
      </c>
      <c r="P142" s="131">
        <v>10</v>
      </c>
      <c r="Q142" s="131">
        <v>10</v>
      </c>
      <c r="R142" s="131">
        <v>10</v>
      </c>
      <c r="S142" s="131">
        <v>10</v>
      </c>
      <c r="T142" s="132">
        <v>10</v>
      </c>
    </row>
    <row r="143" spans="1:20" x14ac:dyDescent="0.35">
      <c r="A143" s="130">
        <v>12</v>
      </c>
      <c r="B143" s="121">
        <v>0</v>
      </c>
      <c r="C143" s="121">
        <v>0</v>
      </c>
      <c r="D143" s="121">
        <v>0</v>
      </c>
      <c r="E143" s="121">
        <v>0</v>
      </c>
      <c r="F143" s="121">
        <v>0</v>
      </c>
      <c r="G143" s="121">
        <v>0</v>
      </c>
      <c r="H143" s="121">
        <v>0</v>
      </c>
      <c r="I143" s="121">
        <v>0</v>
      </c>
      <c r="J143" s="121">
        <v>0</v>
      </c>
      <c r="K143" s="121">
        <v>0</v>
      </c>
      <c r="L143" s="131">
        <v>0</v>
      </c>
      <c r="M143" s="131">
        <v>0</v>
      </c>
      <c r="N143" s="131">
        <v>0</v>
      </c>
      <c r="O143" s="131">
        <v>10</v>
      </c>
      <c r="P143" s="131">
        <v>10</v>
      </c>
      <c r="Q143" s="131">
        <v>10</v>
      </c>
      <c r="R143" s="131">
        <v>10</v>
      </c>
      <c r="S143" s="131">
        <v>10</v>
      </c>
      <c r="T143" s="132">
        <v>10</v>
      </c>
    </row>
    <row r="144" spans="1:20" x14ac:dyDescent="0.35">
      <c r="A144" s="130">
        <v>13</v>
      </c>
      <c r="B144" s="121">
        <v>0</v>
      </c>
      <c r="C144" s="121">
        <v>0</v>
      </c>
      <c r="D144" s="121">
        <v>0</v>
      </c>
      <c r="E144" s="121">
        <v>0</v>
      </c>
      <c r="F144" s="121">
        <v>0</v>
      </c>
      <c r="G144" s="121">
        <v>0</v>
      </c>
      <c r="H144" s="121">
        <v>0</v>
      </c>
      <c r="I144" s="121">
        <v>0</v>
      </c>
      <c r="J144" s="121">
        <v>0</v>
      </c>
      <c r="K144" s="121">
        <v>0</v>
      </c>
      <c r="L144" s="131">
        <v>0</v>
      </c>
      <c r="M144" s="131">
        <v>0</v>
      </c>
      <c r="N144" s="131">
        <v>0</v>
      </c>
      <c r="O144" s="131">
        <v>10</v>
      </c>
      <c r="P144" s="131">
        <v>10</v>
      </c>
      <c r="Q144" s="131">
        <v>10</v>
      </c>
      <c r="R144" s="131">
        <v>10</v>
      </c>
      <c r="S144" s="131">
        <v>10</v>
      </c>
      <c r="T144" s="132">
        <v>10</v>
      </c>
    </row>
    <row r="145" spans="1:20" x14ac:dyDescent="0.35">
      <c r="A145" s="130">
        <v>14</v>
      </c>
      <c r="B145" s="121">
        <v>0</v>
      </c>
      <c r="C145" s="121">
        <v>0</v>
      </c>
      <c r="D145" s="121">
        <v>0</v>
      </c>
      <c r="E145" s="121">
        <v>0</v>
      </c>
      <c r="F145" s="121">
        <v>0</v>
      </c>
      <c r="G145" s="121">
        <v>0</v>
      </c>
      <c r="H145" s="121">
        <v>0</v>
      </c>
      <c r="I145" s="121">
        <v>0</v>
      </c>
      <c r="J145" s="121">
        <v>0</v>
      </c>
      <c r="K145" s="121">
        <v>0</v>
      </c>
      <c r="L145" s="131">
        <v>0</v>
      </c>
      <c r="M145" s="131">
        <v>0</v>
      </c>
      <c r="N145" s="131">
        <v>0</v>
      </c>
      <c r="O145" s="131">
        <v>10</v>
      </c>
      <c r="P145" s="131">
        <v>10</v>
      </c>
      <c r="Q145" s="131">
        <v>10</v>
      </c>
      <c r="R145" s="131">
        <v>10</v>
      </c>
      <c r="S145" s="131">
        <v>10</v>
      </c>
      <c r="T145" s="132">
        <v>10</v>
      </c>
    </row>
    <row r="146" spans="1:20" x14ac:dyDescent="0.35">
      <c r="A146" s="130">
        <v>15</v>
      </c>
      <c r="B146" s="121">
        <v>0</v>
      </c>
      <c r="C146" s="121">
        <v>0</v>
      </c>
      <c r="D146" s="121">
        <v>0</v>
      </c>
      <c r="E146" s="121">
        <v>0</v>
      </c>
      <c r="F146" s="121">
        <v>0</v>
      </c>
      <c r="G146" s="121">
        <v>0</v>
      </c>
      <c r="H146" s="121">
        <v>0</v>
      </c>
      <c r="I146" s="121">
        <v>0</v>
      </c>
      <c r="J146" s="121">
        <v>0</v>
      </c>
      <c r="K146" s="121">
        <v>0</v>
      </c>
      <c r="L146" s="131">
        <v>0</v>
      </c>
      <c r="M146" s="131">
        <v>0</v>
      </c>
      <c r="N146" s="131">
        <v>0</v>
      </c>
      <c r="O146" s="131">
        <v>10</v>
      </c>
      <c r="P146" s="131">
        <v>10</v>
      </c>
      <c r="Q146" s="131">
        <v>10</v>
      </c>
      <c r="R146" s="131">
        <v>10</v>
      </c>
      <c r="S146" s="131">
        <v>10</v>
      </c>
      <c r="T146" s="132">
        <v>10</v>
      </c>
    </row>
    <row r="147" spans="1:20" x14ac:dyDescent="0.35">
      <c r="A147" s="130">
        <v>16</v>
      </c>
      <c r="B147" s="121">
        <v>0</v>
      </c>
      <c r="C147" s="121">
        <v>0</v>
      </c>
      <c r="D147" s="121">
        <v>0</v>
      </c>
      <c r="E147" s="121">
        <v>0</v>
      </c>
      <c r="F147" s="121">
        <v>0</v>
      </c>
      <c r="G147" s="121">
        <v>0</v>
      </c>
      <c r="H147" s="121">
        <v>1</v>
      </c>
      <c r="I147" s="121">
        <v>1</v>
      </c>
      <c r="J147" s="121">
        <v>1</v>
      </c>
      <c r="K147" s="121">
        <v>1</v>
      </c>
      <c r="L147" s="121">
        <v>0</v>
      </c>
      <c r="M147" s="121">
        <v>0</v>
      </c>
      <c r="N147" s="121">
        <v>0</v>
      </c>
      <c r="O147" s="131">
        <v>10</v>
      </c>
      <c r="P147" s="131">
        <v>10</v>
      </c>
      <c r="Q147" s="131">
        <v>10</v>
      </c>
      <c r="R147" s="131">
        <v>10</v>
      </c>
      <c r="S147" s="131">
        <v>10</v>
      </c>
      <c r="T147" s="132">
        <v>10</v>
      </c>
    </row>
    <row r="148" spans="1:20" x14ac:dyDescent="0.35">
      <c r="A148" s="130">
        <v>17</v>
      </c>
      <c r="B148" s="121">
        <v>0</v>
      </c>
      <c r="C148" s="121">
        <v>0</v>
      </c>
      <c r="D148" s="121">
        <v>0</v>
      </c>
      <c r="E148" s="121">
        <v>0</v>
      </c>
      <c r="F148" s="121">
        <v>0</v>
      </c>
      <c r="G148" s="121">
        <v>0</v>
      </c>
      <c r="H148" s="121">
        <v>1</v>
      </c>
      <c r="I148" s="121">
        <v>1</v>
      </c>
      <c r="J148" s="121">
        <v>1</v>
      </c>
      <c r="K148" s="121">
        <v>1</v>
      </c>
      <c r="L148" s="121">
        <v>0</v>
      </c>
      <c r="M148" s="121">
        <v>0</v>
      </c>
      <c r="N148" s="121">
        <v>0</v>
      </c>
      <c r="O148" s="131">
        <v>10</v>
      </c>
      <c r="P148" s="131">
        <v>10</v>
      </c>
      <c r="Q148" s="131">
        <v>10</v>
      </c>
      <c r="R148" s="131">
        <v>10</v>
      </c>
      <c r="S148" s="131">
        <v>10</v>
      </c>
      <c r="T148" s="132">
        <v>10</v>
      </c>
    </row>
    <row r="149" spans="1:20" x14ac:dyDescent="0.35">
      <c r="A149" s="130">
        <v>18</v>
      </c>
      <c r="B149" s="121">
        <v>0</v>
      </c>
      <c r="C149" s="121">
        <v>0</v>
      </c>
      <c r="D149" s="121">
        <v>0</v>
      </c>
      <c r="E149" s="121">
        <v>0</v>
      </c>
      <c r="F149" s="121">
        <v>0</v>
      </c>
      <c r="G149" s="121">
        <v>0</v>
      </c>
      <c r="H149" s="121">
        <v>2</v>
      </c>
      <c r="I149" s="121">
        <v>2</v>
      </c>
      <c r="J149" s="121">
        <v>2</v>
      </c>
      <c r="K149" s="121">
        <v>2</v>
      </c>
      <c r="L149" s="121">
        <v>0</v>
      </c>
      <c r="M149" s="121">
        <v>0</v>
      </c>
      <c r="N149" s="121">
        <v>0</v>
      </c>
      <c r="O149" s="131">
        <v>10</v>
      </c>
      <c r="P149" s="131">
        <v>10</v>
      </c>
      <c r="Q149" s="131">
        <v>10</v>
      </c>
      <c r="R149" s="131">
        <v>10</v>
      </c>
      <c r="S149" s="131">
        <v>10</v>
      </c>
      <c r="T149" s="132">
        <v>10</v>
      </c>
    </row>
    <row r="150" spans="1:20" x14ac:dyDescent="0.35">
      <c r="A150" s="130">
        <v>19</v>
      </c>
      <c r="B150" s="121">
        <v>0</v>
      </c>
      <c r="C150" s="121">
        <v>0</v>
      </c>
      <c r="D150" s="121">
        <v>0</v>
      </c>
      <c r="E150" s="121">
        <v>0</v>
      </c>
      <c r="F150" s="121">
        <v>0</v>
      </c>
      <c r="G150" s="121">
        <v>0</v>
      </c>
      <c r="H150" s="121">
        <v>2</v>
      </c>
      <c r="I150" s="121">
        <v>2</v>
      </c>
      <c r="J150" s="121">
        <v>2</v>
      </c>
      <c r="K150" s="121">
        <v>2</v>
      </c>
      <c r="L150" s="121">
        <v>0</v>
      </c>
      <c r="M150" s="121">
        <v>0</v>
      </c>
      <c r="N150" s="121">
        <v>0</v>
      </c>
      <c r="O150" s="131">
        <v>10</v>
      </c>
      <c r="P150" s="131">
        <v>10</v>
      </c>
      <c r="Q150" s="131">
        <v>10</v>
      </c>
      <c r="R150" s="131">
        <v>10</v>
      </c>
      <c r="S150" s="131">
        <v>10</v>
      </c>
      <c r="T150" s="132">
        <v>10</v>
      </c>
    </row>
    <row r="151" spans="1:20" x14ac:dyDescent="0.35">
      <c r="A151" s="130">
        <v>20</v>
      </c>
      <c r="B151" s="121">
        <v>0</v>
      </c>
      <c r="C151" s="121">
        <v>0</v>
      </c>
      <c r="D151" s="121">
        <v>0</v>
      </c>
      <c r="E151" s="121">
        <v>0</v>
      </c>
      <c r="F151" s="121">
        <v>0</v>
      </c>
      <c r="G151" s="121">
        <v>0</v>
      </c>
      <c r="H151" s="121">
        <v>3</v>
      </c>
      <c r="I151" s="121">
        <v>3</v>
      </c>
      <c r="J151" s="121">
        <v>3</v>
      </c>
      <c r="K151" s="121">
        <v>3</v>
      </c>
      <c r="L151" s="121">
        <v>0</v>
      </c>
      <c r="M151" s="121">
        <v>0</v>
      </c>
      <c r="N151" s="121">
        <v>0</v>
      </c>
      <c r="O151" s="121">
        <v>10</v>
      </c>
      <c r="P151" s="121">
        <v>10</v>
      </c>
      <c r="Q151" s="121">
        <v>10</v>
      </c>
      <c r="R151" s="121">
        <v>10</v>
      </c>
      <c r="S151" s="121">
        <v>10</v>
      </c>
      <c r="T151" s="133">
        <v>10</v>
      </c>
    </row>
    <row r="152" spans="1:20" x14ac:dyDescent="0.35">
      <c r="A152" s="130">
        <v>21</v>
      </c>
      <c r="B152" s="121">
        <v>0</v>
      </c>
      <c r="C152" s="121">
        <v>0</v>
      </c>
      <c r="D152" s="121">
        <v>0</v>
      </c>
      <c r="E152" s="121">
        <v>0</v>
      </c>
      <c r="F152" s="121">
        <v>0</v>
      </c>
      <c r="G152" s="121">
        <v>0</v>
      </c>
      <c r="H152" s="121">
        <v>3</v>
      </c>
      <c r="I152" s="121">
        <v>3</v>
      </c>
      <c r="J152" s="121">
        <v>3</v>
      </c>
      <c r="K152" s="121">
        <v>3</v>
      </c>
      <c r="L152" s="121">
        <v>0</v>
      </c>
      <c r="M152" s="121">
        <v>0</v>
      </c>
      <c r="N152" s="121">
        <v>0</v>
      </c>
      <c r="O152" s="121">
        <v>10</v>
      </c>
      <c r="P152" s="121">
        <v>10</v>
      </c>
      <c r="Q152" s="121">
        <v>10</v>
      </c>
      <c r="R152" s="121">
        <v>10</v>
      </c>
      <c r="S152" s="121">
        <v>10</v>
      </c>
      <c r="T152" s="133">
        <v>10</v>
      </c>
    </row>
    <row r="153" spans="1:20" x14ac:dyDescent="0.35">
      <c r="A153" s="130">
        <v>22</v>
      </c>
      <c r="B153" s="121">
        <v>0</v>
      </c>
      <c r="C153" s="121">
        <v>0</v>
      </c>
      <c r="D153" s="121">
        <v>0</v>
      </c>
      <c r="E153" s="121">
        <v>0</v>
      </c>
      <c r="F153" s="121">
        <v>0</v>
      </c>
      <c r="G153" s="121">
        <v>0</v>
      </c>
      <c r="H153" s="121">
        <v>4</v>
      </c>
      <c r="I153" s="121">
        <v>4</v>
      </c>
      <c r="J153" s="121">
        <v>4</v>
      </c>
      <c r="K153" s="121">
        <v>4</v>
      </c>
      <c r="L153" s="121">
        <v>1</v>
      </c>
      <c r="M153" s="121">
        <v>1</v>
      </c>
      <c r="N153" s="121">
        <v>1</v>
      </c>
      <c r="O153" s="121">
        <v>10</v>
      </c>
      <c r="P153" s="121">
        <v>10</v>
      </c>
      <c r="Q153" s="121">
        <v>10</v>
      </c>
      <c r="R153" s="121">
        <v>10</v>
      </c>
      <c r="S153" s="121">
        <v>10</v>
      </c>
      <c r="T153" s="133">
        <v>10</v>
      </c>
    </row>
    <row r="154" spans="1:20" x14ac:dyDescent="0.35">
      <c r="A154" s="130">
        <v>23</v>
      </c>
      <c r="B154" s="121">
        <v>0</v>
      </c>
      <c r="C154" s="121">
        <v>0</v>
      </c>
      <c r="D154" s="121">
        <v>0</v>
      </c>
      <c r="E154" s="121">
        <v>0</v>
      </c>
      <c r="F154" s="121">
        <v>0</v>
      </c>
      <c r="G154" s="121">
        <v>0</v>
      </c>
      <c r="H154" s="121">
        <v>4</v>
      </c>
      <c r="I154" s="121">
        <v>4</v>
      </c>
      <c r="J154" s="121">
        <v>4</v>
      </c>
      <c r="K154" s="121">
        <v>4</v>
      </c>
      <c r="L154" s="121">
        <v>1</v>
      </c>
      <c r="M154" s="121">
        <v>1</v>
      </c>
      <c r="N154" s="121">
        <v>1</v>
      </c>
      <c r="O154" s="121">
        <v>10</v>
      </c>
      <c r="P154" s="121">
        <v>10</v>
      </c>
      <c r="Q154" s="121">
        <v>10</v>
      </c>
      <c r="R154" s="121">
        <v>10</v>
      </c>
      <c r="S154" s="121">
        <v>10</v>
      </c>
      <c r="T154" s="133">
        <v>10</v>
      </c>
    </row>
    <row r="155" spans="1:20" x14ac:dyDescent="0.35">
      <c r="A155" s="130">
        <v>24</v>
      </c>
      <c r="B155" s="121">
        <v>0</v>
      </c>
      <c r="C155" s="121">
        <v>0</v>
      </c>
      <c r="D155" s="121">
        <v>0</v>
      </c>
      <c r="E155" s="121">
        <v>0</v>
      </c>
      <c r="F155" s="121">
        <v>0</v>
      </c>
      <c r="G155" s="121">
        <v>0</v>
      </c>
      <c r="H155" s="121">
        <v>5</v>
      </c>
      <c r="I155" s="121">
        <v>5</v>
      </c>
      <c r="J155" s="121">
        <v>5</v>
      </c>
      <c r="K155" s="121">
        <v>5</v>
      </c>
      <c r="L155" s="121">
        <v>2</v>
      </c>
      <c r="M155" s="121">
        <v>2</v>
      </c>
      <c r="N155" s="121">
        <v>2</v>
      </c>
      <c r="O155" s="121">
        <v>10</v>
      </c>
      <c r="P155" s="121">
        <v>10</v>
      </c>
      <c r="Q155" s="121">
        <v>10</v>
      </c>
      <c r="R155" s="121">
        <v>10</v>
      </c>
      <c r="S155" s="121">
        <v>10</v>
      </c>
      <c r="T155" s="133">
        <v>10</v>
      </c>
    </row>
    <row r="156" spans="1:20" x14ac:dyDescent="0.35">
      <c r="A156" s="130">
        <v>25</v>
      </c>
      <c r="B156" s="121">
        <v>0</v>
      </c>
      <c r="C156" s="121">
        <v>0</v>
      </c>
      <c r="D156" s="121">
        <v>0</v>
      </c>
      <c r="E156" s="121">
        <v>0</v>
      </c>
      <c r="F156" s="121">
        <v>0</v>
      </c>
      <c r="G156" s="121">
        <v>0</v>
      </c>
      <c r="H156" s="121">
        <v>5</v>
      </c>
      <c r="I156" s="121">
        <v>5</v>
      </c>
      <c r="J156" s="121">
        <v>5</v>
      </c>
      <c r="K156" s="121">
        <v>5</v>
      </c>
      <c r="L156" s="121">
        <v>2</v>
      </c>
      <c r="M156" s="121">
        <v>2</v>
      </c>
      <c r="N156" s="121">
        <v>2</v>
      </c>
      <c r="O156" s="121">
        <v>10</v>
      </c>
      <c r="P156" s="121">
        <v>10</v>
      </c>
      <c r="Q156" s="121">
        <v>10</v>
      </c>
      <c r="R156" s="121">
        <v>10</v>
      </c>
      <c r="S156" s="121">
        <v>10</v>
      </c>
      <c r="T156" s="133">
        <v>10</v>
      </c>
    </row>
    <row r="157" spans="1:20" x14ac:dyDescent="0.35">
      <c r="A157" s="130">
        <v>26</v>
      </c>
      <c r="B157" s="121">
        <v>0</v>
      </c>
      <c r="C157" s="121">
        <v>0</v>
      </c>
      <c r="D157" s="121">
        <v>0</v>
      </c>
      <c r="E157" s="121">
        <v>0</v>
      </c>
      <c r="F157" s="121">
        <v>0</v>
      </c>
      <c r="G157" s="121">
        <v>0</v>
      </c>
      <c r="H157" s="121">
        <v>6</v>
      </c>
      <c r="I157" s="121">
        <v>6</v>
      </c>
      <c r="J157" s="121">
        <v>6</v>
      </c>
      <c r="K157" s="121">
        <v>6</v>
      </c>
      <c r="L157" s="121">
        <v>3</v>
      </c>
      <c r="M157" s="121">
        <v>3</v>
      </c>
      <c r="N157" s="121">
        <v>3</v>
      </c>
      <c r="O157" s="121">
        <v>10</v>
      </c>
      <c r="P157" s="121">
        <v>10</v>
      </c>
      <c r="Q157" s="121">
        <v>10</v>
      </c>
      <c r="R157" s="121">
        <v>10</v>
      </c>
      <c r="S157" s="121">
        <v>10</v>
      </c>
      <c r="T157" s="133">
        <v>10</v>
      </c>
    </row>
    <row r="158" spans="1:20" x14ac:dyDescent="0.35">
      <c r="A158" s="130">
        <v>27</v>
      </c>
      <c r="B158" s="121">
        <v>0</v>
      </c>
      <c r="C158" s="121">
        <v>0</v>
      </c>
      <c r="D158" s="121">
        <v>0</v>
      </c>
      <c r="E158" s="121">
        <v>0</v>
      </c>
      <c r="F158" s="121">
        <v>0</v>
      </c>
      <c r="G158" s="121">
        <v>0</v>
      </c>
      <c r="H158" s="121">
        <v>6</v>
      </c>
      <c r="I158" s="121">
        <v>6</v>
      </c>
      <c r="J158" s="121">
        <v>6</v>
      </c>
      <c r="K158" s="121">
        <v>6</v>
      </c>
      <c r="L158" s="121">
        <v>3</v>
      </c>
      <c r="M158" s="121">
        <v>3</v>
      </c>
      <c r="N158" s="121">
        <v>3</v>
      </c>
      <c r="O158" s="121">
        <v>10</v>
      </c>
      <c r="P158" s="121">
        <v>10</v>
      </c>
      <c r="Q158" s="121">
        <v>10</v>
      </c>
      <c r="R158" s="121">
        <v>10</v>
      </c>
      <c r="S158" s="121">
        <v>10</v>
      </c>
      <c r="T158" s="133">
        <v>10</v>
      </c>
    </row>
    <row r="159" spans="1:20" x14ac:dyDescent="0.35">
      <c r="A159" s="130">
        <v>28</v>
      </c>
      <c r="B159" s="121">
        <v>0</v>
      </c>
      <c r="C159" s="121">
        <v>0</v>
      </c>
      <c r="D159" s="121">
        <v>0</v>
      </c>
      <c r="E159" s="121">
        <v>0</v>
      </c>
      <c r="F159" s="121">
        <v>0</v>
      </c>
      <c r="G159" s="121">
        <v>0</v>
      </c>
      <c r="H159" s="121">
        <v>7</v>
      </c>
      <c r="I159" s="121">
        <v>7</v>
      </c>
      <c r="J159" s="121">
        <v>7</v>
      </c>
      <c r="K159" s="121">
        <v>7</v>
      </c>
      <c r="L159" s="121">
        <v>4</v>
      </c>
      <c r="M159" s="121">
        <v>4</v>
      </c>
      <c r="N159" s="121">
        <v>4</v>
      </c>
      <c r="O159" s="121">
        <v>10</v>
      </c>
      <c r="P159" s="121">
        <v>10</v>
      </c>
      <c r="Q159" s="121">
        <v>10</v>
      </c>
      <c r="R159" s="121">
        <v>10</v>
      </c>
      <c r="S159" s="121">
        <v>10</v>
      </c>
      <c r="T159" s="133">
        <v>10</v>
      </c>
    </row>
    <row r="160" spans="1:20" x14ac:dyDescent="0.35">
      <c r="A160" s="130">
        <v>29</v>
      </c>
      <c r="B160" s="121">
        <v>0</v>
      </c>
      <c r="C160" s="121">
        <v>0</v>
      </c>
      <c r="D160" s="121">
        <v>0</v>
      </c>
      <c r="E160" s="121">
        <v>0</v>
      </c>
      <c r="F160" s="121">
        <v>0</v>
      </c>
      <c r="G160" s="121">
        <v>0</v>
      </c>
      <c r="H160" s="121">
        <v>7</v>
      </c>
      <c r="I160" s="121">
        <v>7</v>
      </c>
      <c r="J160" s="121">
        <v>7</v>
      </c>
      <c r="K160" s="121">
        <v>7</v>
      </c>
      <c r="L160" s="121">
        <v>4</v>
      </c>
      <c r="M160" s="121">
        <v>4</v>
      </c>
      <c r="N160" s="121">
        <v>4</v>
      </c>
      <c r="O160" s="121">
        <v>10</v>
      </c>
      <c r="P160" s="121">
        <v>10</v>
      </c>
      <c r="Q160" s="121">
        <v>10</v>
      </c>
      <c r="R160" s="121">
        <v>10</v>
      </c>
      <c r="S160" s="121">
        <v>10</v>
      </c>
      <c r="T160" s="133">
        <v>10</v>
      </c>
    </row>
    <row r="161" spans="1:20" x14ac:dyDescent="0.35">
      <c r="A161" s="130">
        <v>30</v>
      </c>
      <c r="B161" s="121">
        <v>0</v>
      </c>
      <c r="C161" s="121">
        <v>0</v>
      </c>
      <c r="D161" s="121">
        <v>0</v>
      </c>
      <c r="E161" s="121">
        <v>0</v>
      </c>
      <c r="F161" s="121">
        <v>0</v>
      </c>
      <c r="G161" s="121">
        <v>0</v>
      </c>
      <c r="H161" s="121">
        <v>8</v>
      </c>
      <c r="I161" s="121">
        <v>8</v>
      </c>
      <c r="J161" s="121">
        <v>8</v>
      </c>
      <c r="K161" s="121">
        <v>8</v>
      </c>
      <c r="L161" s="121">
        <v>5</v>
      </c>
      <c r="M161" s="121">
        <v>5</v>
      </c>
      <c r="N161" s="121">
        <v>5</v>
      </c>
      <c r="O161" s="121">
        <v>10</v>
      </c>
      <c r="P161" s="121">
        <v>10</v>
      </c>
      <c r="Q161" s="121">
        <v>10</v>
      </c>
      <c r="R161" s="121">
        <v>10</v>
      </c>
      <c r="S161" s="121">
        <v>10</v>
      </c>
      <c r="T161" s="133">
        <v>10</v>
      </c>
    </row>
    <row r="162" spans="1:20" x14ac:dyDescent="0.35">
      <c r="A162" s="130">
        <v>31</v>
      </c>
      <c r="B162" s="121">
        <v>0</v>
      </c>
      <c r="C162" s="121">
        <v>0</v>
      </c>
      <c r="D162" s="121">
        <v>0</v>
      </c>
      <c r="E162" s="121">
        <v>0</v>
      </c>
      <c r="F162" s="121">
        <v>0</v>
      </c>
      <c r="G162" s="121">
        <v>0</v>
      </c>
      <c r="H162" s="121">
        <v>8</v>
      </c>
      <c r="I162" s="121">
        <v>8</v>
      </c>
      <c r="J162" s="121">
        <v>8</v>
      </c>
      <c r="K162" s="121">
        <v>8</v>
      </c>
      <c r="L162" s="121">
        <v>5</v>
      </c>
      <c r="M162" s="121">
        <v>5</v>
      </c>
      <c r="N162" s="121">
        <v>5</v>
      </c>
      <c r="O162" s="121">
        <v>10</v>
      </c>
      <c r="P162" s="121">
        <v>10</v>
      </c>
      <c r="Q162" s="121">
        <v>10</v>
      </c>
      <c r="R162" s="121">
        <v>10</v>
      </c>
      <c r="S162" s="121">
        <v>10</v>
      </c>
      <c r="T162" s="133">
        <v>10</v>
      </c>
    </row>
    <row r="163" spans="1:20" x14ac:dyDescent="0.35">
      <c r="A163" s="130">
        <v>32</v>
      </c>
      <c r="B163" s="121">
        <v>0</v>
      </c>
      <c r="C163" s="121">
        <v>0</v>
      </c>
      <c r="D163" s="121">
        <v>0</v>
      </c>
      <c r="E163" s="121">
        <v>0</v>
      </c>
      <c r="F163" s="121">
        <v>0</v>
      </c>
      <c r="G163" s="121">
        <v>0</v>
      </c>
      <c r="H163" s="121">
        <v>9</v>
      </c>
      <c r="I163" s="121">
        <v>9</v>
      </c>
      <c r="J163" s="121">
        <v>9</v>
      </c>
      <c r="K163" s="121">
        <v>9</v>
      </c>
      <c r="L163" s="121">
        <v>6</v>
      </c>
      <c r="M163" s="121">
        <v>6</v>
      </c>
      <c r="N163" s="121">
        <v>6</v>
      </c>
      <c r="O163" s="121">
        <v>10</v>
      </c>
      <c r="P163" s="121">
        <v>10</v>
      </c>
      <c r="Q163" s="121">
        <v>10</v>
      </c>
      <c r="R163" s="121">
        <v>10</v>
      </c>
      <c r="S163" s="121">
        <v>10</v>
      </c>
      <c r="T163" s="133">
        <v>10</v>
      </c>
    </row>
    <row r="164" spans="1:20" x14ac:dyDescent="0.35">
      <c r="A164" s="130">
        <v>33</v>
      </c>
      <c r="B164" s="121">
        <v>0</v>
      </c>
      <c r="C164" s="121">
        <v>0</v>
      </c>
      <c r="D164" s="121">
        <v>0</v>
      </c>
      <c r="E164" s="121">
        <v>0</v>
      </c>
      <c r="F164" s="121">
        <v>0</v>
      </c>
      <c r="G164" s="121">
        <v>0</v>
      </c>
      <c r="H164" s="121">
        <v>9</v>
      </c>
      <c r="I164" s="121">
        <v>9</v>
      </c>
      <c r="J164" s="121">
        <v>9</v>
      </c>
      <c r="K164" s="121">
        <v>9</v>
      </c>
      <c r="L164" s="121">
        <v>6</v>
      </c>
      <c r="M164" s="121">
        <v>6</v>
      </c>
      <c r="N164" s="121">
        <v>6</v>
      </c>
      <c r="O164" s="121">
        <v>10</v>
      </c>
      <c r="P164" s="121">
        <v>10</v>
      </c>
      <c r="Q164" s="121">
        <v>10</v>
      </c>
      <c r="R164" s="121">
        <v>10</v>
      </c>
      <c r="S164" s="121">
        <v>10</v>
      </c>
      <c r="T164" s="133">
        <v>10</v>
      </c>
    </row>
    <row r="165" spans="1:20" x14ac:dyDescent="0.35">
      <c r="A165" s="130">
        <v>34</v>
      </c>
      <c r="B165" s="121">
        <v>0</v>
      </c>
      <c r="C165" s="121">
        <v>0</v>
      </c>
      <c r="D165" s="121">
        <v>0</v>
      </c>
      <c r="E165" s="121">
        <v>0</v>
      </c>
      <c r="F165" s="121">
        <v>0</v>
      </c>
      <c r="G165" s="121">
        <v>0</v>
      </c>
      <c r="H165" s="121">
        <v>10</v>
      </c>
      <c r="I165" s="121">
        <v>10</v>
      </c>
      <c r="J165" s="121">
        <v>10</v>
      </c>
      <c r="K165" s="121">
        <v>10</v>
      </c>
      <c r="L165" s="121">
        <v>7</v>
      </c>
      <c r="M165" s="121">
        <v>7</v>
      </c>
      <c r="N165" s="121">
        <v>7</v>
      </c>
      <c r="O165" s="121">
        <v>10</v>
      </c>
      <c r="P165" s="121">
        <v>10</v>
      </c>
      <c r="Q165" s="121">
        <v>10</v>
      </c>
      <c r="R165" s="121">
        <v>10</v>
      </c>
      <c r="S165" s="121">
        <v>10</v>
      </c>
      <c r="T165" s="133">
        <v>10</v>
      </c>
    </row>
    <row r="166" spans="1:20" x14ac:dyDescent="0.35">
      <c r="A166" s="130">
        <v>35</v>
      </c>
      <c r="B166" s="121">
        <v>0</v>
      </c>
      <c r="C166" s="121">
        <v>0</v>
      </c>
      <c r="D166" s="121">
        <v>0</v>
      </c>
      <c r="E166" s="121">
        <v>0</v>
      </c>
      <c r="F166" s="121">
        <v>0</v>
      </c>
      <c r="G166" s="121">
        <v>0</v>
      </c>
      <c r="H166" s="121">
        <v>10</v>
      </c>
      <c r="I166" s="121">
        <v>10</v>
      </c>
      <c r="J166" s="121">
        <v>10</v>
      </c>
      <c r="K166" s="121">
        <v>10</v>
      </c>
      <c r="L166" s="121">
        <v>7</v>
      </c>
      <c r="M166" s="121">
        <v>7</v>
      </c>
      <c r="N166" s="121">
        <v>7</v>
      </c>
      <c r="O166" s="121">
        <v>10</v>
      </c>
      <c r="P166" s="121">
        <v>10</v>
      </c>
      <c r="Q166" s="121">
        <v>10</v>
      </c>
      <c r="R166" s="121">
        <v>10</v>
      </c>
      <c r="S166" s="121">
        <v>10</v>
      </c>
      <c r="T166" s="133">
        <v>10</v>
      </c>
    </row>
    <row r="167" spans="1:20" x14ac:dyDescent="0.35">
      <c r="A167" s="130">
        <v>36</v>
      </c>
      <c r="B167" s="121">
        <v>0</v>
      </c>
      <c r="C167" s="121">
        <v>0</v>
      </c>
      <c r="D167" s="121">
        <v>0</v>
      </c>
      <c r="E167" s="121">
        <v>0</v>
      </c>
      <c r="F167" s="121">
        <v>0</v>
      </c>
      <c r="G167" s="121">
        <v>0</v>
      </c>
      <c r="H167" s="121">
        <v>10</v>
      </c>
      <c r="I167" s="121">
        <v>10</v>
      </c>
      <c r="J167" s="121">
        <v>10</v>
      </c>
      <c r="K167" s="121">
        <v>10</v>
      </c>
      <c r="L167" s="121">
        <v>8</v>
      </c>
      <c r="M167" s="121">
        <v>8</v>
      </c>
      <c r="N167" s="121">
        <v>8</v>
      </c>
      <c r="O167" s="121">
        <v>10</v>
      </c>
      <c r="P167" s="121">
        <v>10</v>
      </c>
      <c r="Q167" s="121">
        <v>10</v>
      </c>
      <c r="R167" s="121">
        <v>10</v>
      </c>
      <c r="S167" s="121">
        <v>10</v>
      </c>
      <c r="T167" s="133">
        <v>10</v>
      </c>
    </row>
    <row r="168" spans="1:20" x14ac:dyDescent="0.35">
      <c r="A168" s="130">
        <v>37</v>
      </c>
      <c r="B168" s="121">
        <v>0</v>
      </c>
      <c r="C168" s="121">
        <v>0</v>
      </c>
      <c r="D168" s="121">
        <v>0</v>
      </c>
      <c r="E168" s="121">
        <v>0</v>
      </c>
      <c r="F168" s="121">
        <v>0</v>
      </c>
      <c r="G168" s="121">
        <v>0</v>
      </c>
      <c r="H168" s="121">
        <v>10</v>
      </c>
      <c r="I168" s="121">
        <v>10</v>
      </c>
      <c r="J168" s="121">
        <v>10</v>
      </c>
      <c r="K168" s="121">
        <v>10</v>
      </c>
      <c r="L168" s="121">
        <v>8</v>
      </c>
      <c r="M168" s="121">
        <v>8</v>
      </c>
      <c r="N168" s="121">
        <v>8</v>
      </c>
      <c r="O168" s="121">
        <v>10</v>
      </c>
      <c r="P168" s="121">
        <v>10</v>
      </c>
      <c r="Q168" s="121">
        <v>10</v>
      </c>
      <c r="R168" s="121">
        <v>10</v>
      </c>
      <c r="S168" s="121">
        <v>10</v>
      </c>
      <c r="T168" s="133">
        <v>10</v>
      </c>
    </row>
    <row r="169" spans="1:20" x14ac:dyDescent="0.35">
      <c r="A169" s="130">
        <v>38</v>
      </c>
      <c r="B169" s="121">
        <v>0</v>
      </c>
      <c r="C169" s="121">
        <v>0</v>
      </c>
      <c r="D169" s="121">
        <v>0</v>
      </c>
      <c r="E169" s="121">
        <v>0</v>
      </c>
      <c r="F169" s="121">
        <v>0</v>
      </c>
      <c r="G169" s="121">
        <v>0</v>
      </c>
      <c r="H169" s="121">
        <v>10</v>
      </c>
      <c r="I169" s="121">
        <v>10</v>
      </c>
      <c r="J169" s="121">
        <v>10</v>
      </c>
      <c r="K169" s="121">
        <v>10</v>
      </c>
      <c r="L169" s="121">
        <v>9</v>
      </c>
      <c r="M169" s="121">
        <v>9</v>
      </c>
      <c r="N169" s="121">
        <v>9</v>
      </c>
      <c r="O169" s="121">
        <v>10</v>
      </c>
      <c r="P169" s="121">
        <v>10</v>
      </c>
      <c r="Q169" s="121">
        <v>10</v>
      </c>
      <c r="R169" s="121">
        <v>10</v>
      </c>
      <c r="S169" s="121">
        <v>10</v>
      </c>
      <c r="T169" s="133">
        <v>10</v>
      </c>
    </row>
    <row r="170" spans="1:20" x14ac:dyDescent="0.35">
      <c r="A170" s="130">
        <v>39</v>
      </c>
      <c r="B170" s="121">
        <v>0</v>
      </c>
      <c r="C170" s="121">
        <v>0</v>
      </c>
      <c r="D170" s="121">
        <v>0</v>
      </c>
      <c r="E170" s="121">
        <v>0</v>
      </c>
      <c r="F170" s="121">
        <v>0</v>
      </c>
      <c r="G170" s="121">
        <v>0</v>
      </c>
      <c r="H170" s="121">
        <v>10</v>
      </c>
      <c r="I170" s="121">
        <v>10</v>
      </c>
      <c r="J170" s="121">
        <v>10</v>
      </c>
      <c r="K170" s="121">
        <v>10</v>
      </c>
      <c r="L170" s="121">
        <v>9</v>
      </c>
      <c r="M170" s="121">
        <v>9</v>
      </c>
      <c r="N170" s="121">
        <v>9</v>
      </c>
      <c r="O170" s="121">
        <v>10</v>
      </c>
      <c r="P170" s="121">
        <v>10</v>
      </c>
      <c r="Q170" s="121">
        <v>10</v>
      </c>
      <c r="R170" s="121">
        <v>10</v>
      </c>
      <c r="S170" s="121">
        <v>10</v>
      </c>
      <c r="T170" s="133">
        <v>10</v>
      </c>
    </row>
    <row r="171" spans="1:20" x14ac:dyDescent="0.35">
      <c r="A171" s="126">
        <v>40</v>
      </c>
      <c r="B171" s="134">
        <v>0</v>
      </c>
      <c r="C171" s="134">
        <v>0</v>
      </c>
      <c r="D171" s="134">
        <v>0</v>
      </c>
      <c r="E171" s="134">
        <v>0</v>
      </c>
      <c r="F171" s="134">
        <v>0</v>
      </c>
      <c r="G171" s="134">
        <v>0</v>
      </c>
      <c r="H171" s="134">
        <v>10</v>
      </c>
      <c r="I171" s="134">
        <v>10</v>
      </c>
      <c r="J171" s="134">
        <v>10</v>
      </c>
      <c r="K171" s="134">
        <v>10</v>
      </c>
      <c r="L171" s="134">
        <v>10</v>
      </c>
      <c r="M171" s="134">
        <v>10</v>
      </c>
      <c r="N171" s="134">
        <v>10</v>
      </c>
      <c r="O171" s="134">
        <v>10</v>
      </c>
      <c r="P171" s="134">
        <v>10</v>
      </c>
      <c r="Q171" s="134">
        <v>10</v>
      </c>
      <c r="R171" s="134">
        <v>10</v>
      </c>
      <c r="S171" s="134">
        <v>10</v>
      </c>
      <c r="T171" s="135">
        <v>10</v>
      </c>
    </row>
    <row r="172" spans="1:20" ht="15" thickBot="1" x14ac:dyDescent="0.4">
      <c r="A172" s="136"/>
      <c r="B172" s="136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</row>
    <row r="173" spans="1:20" x14ac:dyDescent="0.35">
      <c r="A173" s="213" t="s">
        <v>305</v>
      </c>
      <c r="B173" s="214"/>
      <c r="C173" s="214"/>
      <c r="D173" s="214"/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  <c r="R173" s="214"/>
      <c r="S173" s="214"/>
      <c r="T173" s="215"/>
    </row>
    <row r="174" spans="1:20" ht="15" thickBot="1" x14ac:dyDescent="0.4">
      <c r="A174" s="126" t="s">
        <v>347</v>
      </c>
      <c r="B174" s="127" t="s">
        <v>286</v>
      </c>
      <c r="C174" s="127" t="s">
        <v>287</v>
      </c>
      <c r="D174" s="127" t="s">
        <v>288</v>
      </c>
      <c r="E174" s="127" t="s">
        <v>289</v>
      </c>
      <c r="F174" s="127" t="s">
        <v>290</v>
      </c>
      <c r="G174" s="127" t="s">
        <v>291</v>
      </c>
      <c r="H174" s="127" t="s">
        <v>292</v>
      </c>
      <c r="I174" s="127" t="s">
        <v>293</v>
      </c>
      <c r="J174" s="127" t="s">
        <v>294</v>
      </c>
      <c r="K174" s="127" t="s">
        <v>295</v>
      </c>
      <c r="L174" s="127" t="s">
        <v>296</v>
      </c>
      <c r="M174" s="127" t="s">
        <v>297</v>
      </c>
      <c r="N174" s="127" t="s">
        <v>298</v>
      </c>
      <c r="O174" s="127" t="s">
        <v>299</v>
      </c>
      <c r="P174" s="127" t="s">
        <v>300</v>
      </c>
      <c r="Q174" s="127" t="s">
        <v>301</v>
      </c>
      <c r="R174" s="127" t="s">
        <v>302</v>
      </c>
      <c r="S174" s="127" t="s">
        <v>303</v>
      </c>
      <c r="T174" s="128" t="s">
        <v>304</v>
      </c>
    </row>
    <row r="175" spans="1:20" x14ac:dyDescent="0.35">
      <c r="A175" s="123">
        <v>0</v>
      </c>
      <c r="B175" s="15">
        <v>0</v>
      </c>
      <c r="C175" s="15">
        <v>0</v>
      </c>
      <c r="D175" s="15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29">
        <v>0</v>
      </c>
    </row>
    <row r="176" spans="1:20" x14ac:dyDescent="0.35">
      <c r="A176" s="130">
        <v>5</v>
      </c>
      <c r="B176" s="131">
        <v>0</v>
      </c>
      <c r="C176" s="131">
        <v>0</v>
      </c>
      <c r="D176" s="131">
        <v>0</v>
      </c>
      <c r="E176" s="131">
        <v>0</v>
      </c>
      <c r="F176" s="131">
        <v>0</v>
      </c>
      <c r="G176" s="131">
        <v>0</v>
      </c>
      <c r="H176" s="131">
        <v>0</v>
      </c>
      <c r="I176" s="131">
        <v>0</v>
      </c>
      <c r="J176" s="131">
        <v>0</v>
      </c>
      <c r="K176" s="131">
        <v>0</v>
      </c>
      <c r="L176" s="131">
        <v>0</v>
      </c>
      <c r="M176" s="131">
        <v>0</v>
      </c>
      <c r="N176" s="131">
        <v>0</v>
      </c>
      <c r="O176" s="131">
        <v>0</v>
      </c>
      <c r="P176" s="131">
        <v>0</v>
      </c>
      <c r="Q176" s="131">
        <v>0</v>
      </c>
      <c r="R176" s="131">
        <v>0</v>
      </c>
      <c r="S176" s="131">
        <v>0</v>
      </c>
      <c r="T176" s="132">
        <v>0</v>
      </c>
    </row>
    <row r="177" spans="1:20" x14ac:dyDescent="0.35">
      <c r="A177" s="130">
        <v>10</v>
      </c>
      <c r="B177" s="131">
        <v>0</v>
      </c>
      <c r="C177" s="131">
        <v>0</v>
      </c>
      <c r="D177" s="131">
        <v>0</v>
      </c>
      <c r="E177" s="131">
        <v>0</v>
      </c>
      <c r="F177" s="131">
        <v>0</v>
      </c>
      <c r="G177" s="131">
        <v>0</v>
      </c>
      <c r="H177" s="131">
        <v>0</v>
      </c>
      <c r="I177" s="131">
        <v>2</v>
      </c>
      <c r="J177" s="131">
        <v>2</v>
      </c>
      <c r="K177" s="131">
        <v>2</v>
      </c>
      <c r="L177" s="131">
        <v>2</v>
      </c>
      <c r="M177" s="131">
        <v>2</v>
      </c>
      <c r="N177" s="131">
        <v>2</v>
      </c>
      <c r="O177" s="131">
        <v>2</v>
      </c>
      <c r="P177" s="131">
        <v>2</v>
      </c>
      <c r="Q177" s="131">
        <v>2</v>
      </c>
      <c r="R177" s="131">
        <v>2</v>
      </c>
      <c r="S177" s="131">
        <v>2</v>
      </c>
      <c r="T177" s="132">
        <v>2</v>
      </c>
    </row>
    <row r="178" spans="1:20" x14ac:dyDescent="0.35">
      <c r="A178" s="130">
        <v>15</v>
      </c>
      <c r="B178" s="131">
        <v>0</v>
      </c>
      <c r="C178" s="131">
        <v>0</v>
      </c>
      <c r="D178" s="131">
        <v>0</v>
      </c>
      <c r="E178" s="131">
        <v>0</v>
      </c>
      <c r="F178" s="131">
        <v>0</v>
      </c>
      <c r="G178" s="131">
        <v>0</v>
      </c>
      <c r="H178" s="131">
        <v>0</v>
      </c>
      <c r="I178" s="131">
        <v>4</v>
      </c>
      <c r="J178" s="131">
        <v>4</v>
      </c>
      <c r="K178" s="131">
        <v>4</v>
      </c>
      <c r="L178" s="131">
        <v>4</v>
      </c>
      <c r="M178" s="131">
        <v>4</v>
      </c>
      <c r="N178" s="131">
        <v>4</v>
      </c>
      <c r="O178" s="131">
        <v>4</v>
      </c>
      <c r="P178" s="131">
        <v>4</v>
      </c>
      <c r="Q178" s="131">
        <v>4</v>
      </c>
      <c r="R178" s="131">
        <v>4</v>
      </c>
      <c r="S178" s="131">
        <v>4</v>
      </c>
      <c r="T178" s="132">
        <v>4</v>
      </c>
    </row>
    <row r="179" spans="1:20" x14ac:dyDescent="0.35">
      <c r="A179" s="130">
        <v>20</v>
      </c>
      <c r="B179" s="131">
        <v>0</v>
      </c>
      <c r="C179" s="131">
        <v>0</v>
      </c>
      <c r="D179" s="131">
        <v>0</v>
      </c>
      <c r="E179" s="131">
        <v>0</v>
      </c>
      <c r="F179" s="131">
        <v>0</v>
      </c>
      <c r="G179" s="131">
        <v>0</v>
      </c>
      <c r="H179" s="131">
        <v>0</v>
      </c>
      <c r="I179" s="131">
        <v>6</v>
      </c>
      <c r="J179" s="131">
        <v>6</v>
      </c>
      <c r="K179" s="131">
        <v>6</v>
      </c>
      <c r="L179" s="131">
        <v>6</v>
      </c>
      <c r="M179" s="131">
        <v>6</v>
      </c>
      <c r="N179" s="131">
        <v>6</v>
      </c>
      <c r="O179" s="131">
        <v>6</v>
      </c>
      <c r="P179" s="131">
        <v>6</v>
      </c>
      <c r="Q179" s="131">
        <v>6</v>
      </c>
      <c r="R179" s="131">
        <v>6</v>
      </c>
      <c r="S179" s="131">
        <v>6</v>
      </c>
      <c r="T179" s="132">
        <v>6</v>
      </c>
    </row>
    <row r="180" spans="1:20" x14ac:dyDescent="0.35">
      <c r="A180" s="130">
        <v>25</v>
      </c>
      <c r="B180" s="131">
        <v>0</v>
      </c>
      <c r="C180" s="131">
        <v>0</v>
      </c>
      <c r="D180" s="131">
        <v>0</v>
      </c>
      <c r="E180" s="131">
        <v>0</v>
      </c>
      <c r="F180" s="131">
        <v>0</v>
      </c>
      <c r="G180" s="131">
        <v>0</v>
      </c>
      <c r="H180" s="131">
        <v>0</v>
      </c>
      <c r="I180" s="131">
        <v>8</v>
      </c>
      <c r="J180" s="131">
        <v>8</v>
      </c>
      <c r="K180" s="131">
        <v>8</v>
      </c>
      <c r="L180" s="131">
        <v>8</v>
      </c>
      <c r="M180" s="131">
        <v>8</v>
      </c>
      <c r="N180" s="131">
        <v>8</v>
      </c>
      <c r="O180" s="131">
        <v>8</v>
      </c>
      <c r="P180" s="131">
        <v>8</v>
      </c>
      <c r="Q180" s="131">
        <v>8</v>
      </c>
      <c r="R180" s="131">
        <v>8</v>
      </c>
      <c r="S180" s="131">
        <v>8</v>
      </c>
      <c r="T180" s="132">
        <v>8</v>
      </c>
    </row>
    <row r="181" spans="1:20" x14ac:dyDescent="0.35">
      <c r="A181" s="130">
        <v>30</v>
      </c>
      <c r="B181" s="131">
        <v>0</v>
      </c>
      <c r="C181" s="131">
        <v>0</v>
      </c>
      <c r="D181" s="131">
        <v>0</v>
      </c>
      <c r="E181" s="131">
        <v>0</v>
      </c>
      <c r="F181" s="131">
        <v>0</v>
      </c>
      <c r="G181" s="131">
        <v>0</v>
      </c>
      <c r="H181" s="131">
        <v>0</v>
      </c>
      <c r="I181" s="131">
        <v>10</v>
      </c>
      <c r="J181" s="131">
        <v>10</v>
      </c>
      <c r="K181" s="131">
        <v>10</v>
      </c>
      <c r="L181" s="131">
        <v>10</v>
      </c>
      <c r="M181" s="131">
        <v>10</v>
      </c>
      <c r="N181" s="131">
        <v>10</v>
      </c>
      <c r="O181" s="131">
        <v>10</v>
      </c>
      <c r="P181" s="131">
        <v>10</v>
      </c>
      <c r="Q181" s="131">
        <v>10</v>
      </c>
      <c r="R181" s="131">
        <v>10</v>
      </c>
      <c r="S181" s="131">
        <v>10</v>
      </c>
      <c r="T181" s="132">
        <v>10</v>
      </c>
    </row>
    <row r="182" spans="1:20" x14ac:dyDescent="0.35">
      <c r="A182" s="130">
        <v>35</v>
      </c>
      <c r="B182" s="131">
        <v>0</v>
      </c>
      <c r="C182" s="131">
        <v>0</v>
      </c>
      <c r="D182" s="131">
        <v>0</v>
      </c>
      <c r="E182" s="131">
        <v>0</v>
      </c>
      <c r="F182" s="131">
        <v>0</v>
      </c>
      <c r="G182" s="131">
        <v>0</v>
      </c>
      <c r="H182" s="131">
        <v>0</v>
      </c>
      <c r="I182" s="131">
        <v>10</v>
      </c>
      <c r="J182" s="131">
        <v>10</v>
      </c>
      <c r="K182" s="131">
        <v>10</v>
      </c>
      <c r="L182" s="131">
        <v>10</v>
      </c>
      <c r="M182" s="131">
        <v>10</v>
      </c>
      <c r="N182" s="131">
        <v>10</v>
      </c>
      <c r="O182" s="131">
        <v>10</v>
      </c>
      <c r="P182" s="131">
        <v>10</v>
      </c>
      <c r="Q182" s="131">
        <v>10</v>
      </c>
      <c r="R182" s="131">
        <v>10</v>
      </c>
      <c r="S182" s="131">
        <v>10</v>
      </c>
      <c r="T182" s="132">
        <v>10</v>
      </c>
    </row>
    <row r="183" spans="1:20" x14ac:dyDescent="0.35">
      <c r="A183" s="130">
        <v>40</v>
      </c>
      <c r="B183" s="131">
        <v>0</v>
      </c>
      <c r="C183" s="131">
        <v>0</v>
      </c>
      <c r="D183" s="131">
        <v>0</v>
      </c>
      <c r="E183" s="131">
        <v>0</v>
      </c>
      <c r="F183" s="131">
        <v>0</v>
      </c>
      <c r="G183" s="131">
        <v>0</v>
      </c>
      <c r="H183" s="131">
        <v>2</v>
      </c>
      <c r="I183" s="131">
        <v>10</v>
      </c>
      <c r="J183" s="131">
        <v>10</v>
      </c>
      <c r="K183" s="131">
        <v>10</v>
      </c>
      <c r="L183" s="131">
        <v>10</v>
      </c>
      <c r="M183" s="131">
        <v>10</v>
      </c>
      <c r="N183" s="131">
        <v>10</v>
      </c>
      <c r="O183" s="131">
        <v>10</v>
      </c>
      <c r="P183" s="131">
        <v>10</v>
      </c>
      <c r="Q183" s="131">
        <v>10</v>
      </c>
      <c r="R183" s="131">
        <v>10</v>
      </c>
      <c r="S183" s="131">
        <v>10</v>
      </c>
      <c r="T183" s="132">
        <v>10</v>
      </c>
    </row>
    <row r="184" spans="1:20" x14ac:dyDescent="0.35">
      <c r="A184" s="130">
        <v>45</v>
      </c>
      <c r="B184" s="131">
        <v>0</v>
      </c>
      <c r="C184" s="131">
        <v>0</v>
      </c>
      <c r="D184" s="131">
        <v>0</v>
      </c>
      <c r="E184" s="131">
        <v>0</v>
      </c>
      <c r="F184" s="131">
        <v>0</v>
      </c>
      <c r="G184" s="131">
        <v>0</v>
      </c>
      <c r="H184" s="131">
        <v>4</v>
      </c>
      <c r="I184" s="131">
        <v>10</v>
      </c>
      <c r="J184" s="131">
        <v>10</v>
      </c>
      <c r="K184" s="131">
        <v>10</v>
      </c>
      <c r="L184" s="131">
        <v>10</v>
      </c>
      <c r="M184" s="131">
        <v>10</v>
      </c>
      <c r="N184" s="131">
        <v>10</v>
      </c>
      <c r="O184" s="131">
        <v>10</v>
      </c>
      <c r="P184" s="131">
        <v>10</v>
      </c>
      <c r="Q184" s="131">
        <v>10</v>
      </c>
      <c r="R184" s="131">
        <v>10</v>
      </c>
      <c r="S184" s="131">
        <v>10</v>
      </c>
      <c r="T184" s="132">
        <v>10</v>
      </c>
    </row>
    <row r="185" spans="1:20" x14ac:dyDescent="0.35">
      <c r="A185" s="130">
        <v>50</v>
      </c>
      <c r="B185" s="131">
        <v>0</v>
      </c>
      <c r="C185" s="131">
        <v>0</v>
      </c>
      <c r="D185" s="131">
        <v>0</v>
      </c>
      <c r="E185" s="131">
        <v>0</v>
      </c>
      <c r="F185" s="131">
        <v>0</v>
      </c>
      <c r="G185" s="131">
        <v>0</v>
      </c>
      <c r="H185" s="131">
        <v>6</v>
      </c>
      <c r="I185" s="131">
        <v>10</v>
      </c>
      <c r="J185" s="131">
        <v>10</v>
      </c>
      <c r="K185" s="131">
        <v>10</v>
      </c>
      <c r="L185" s="131">
        <v>10</v>
      </c>
      <c r="M185" s="131">
        <v>10</v>
      </c>
      <c r="N185" s="131">
        <v>10</v>
      </c>
      <c r="O185" s="131">
        <v>10</v>
      </c>
      <c r="P185" s="131">
        <v>10</v>
      </c>
      <c r="Q185" s="131">
        <v>10</v>
      </c>
      <c r="R185" s="131">
        <v>10</v>
      </c>
      <c r="S185" s="131">
        <v>10</v>
      </c>
      <c r="T185" s="132">
        <v>10</v>
      </c>
    </row>
    <row r="186" spans="1:20" x14ac:dyDescent="0.35">
      <c r="A186" s="130">
        <v>55</v>
      </c>
      <c r="B186" s="131">
        <v>0</v>
      </c>
      <c r="C186" s="131">
        <v>0</v>
      </c>
      <c r="D186" s="131">
        <v>0</v>
      </c>
      <c r="E186" s="131">
        <v>0</v>
      </c>
      <c r="F186" s="131">
        <v>0</v>
      </c>
      <c r="G186" s="131">
        <v>0</v>
      </c>
      <c r="H186" s="131">
        <v>8</v>
      </c>
      <c r="I186" s="131">
        <v>10</v>
      </c>
      <c r="J186" s="131">
        <v>10</v>
      </c>
      <c r="K186" s="131">
        <v>10</v>
      </c>
      <c r="L186" s="131">
        <v>10</v>
      </c>
      <c r="M186" s="131">
        <v>10</v>
      </c>
      <c r="N186" s="131">
        <v>10</v>
      </c>
      <c r="O186" s="131">
        <v>10</v>
      </c>
      <c r="P186" s="131">
        <v>10</v>
      </c>
      <c r="Q186" s="131">
        <v>10</v>
      </c>
      <c r="R186" s="131">
        <v>10</v>
      </c>
      <c r="S186" s="131">
        <v>10</v>
      </c>
      <c r="T186" s="132">
        <v>10</v>
      </c>
    </row>
    <row r="187" spans="1:20" x14ac:dyDescent="0.35">
      <c r="A187" s="126">
        <v>60</v>
      </c>
      <c r="B187" s="134">
        <v>0</v>
      </c>
      <c r="C187" s="134">
        <v>0</v>
      </c>
      <c r="D187" s="134">
        <v>0</v>
      </c>
      <c r="E187" s="134">
        <v>0</v>
      </c>
      <c r="F187" s="134">
        <v>0</v>
      </c>
      <c r="G187" s="134">
        <v>0</v>
      </c>
      <c r="H187" s="134">
        <v>10</v>
      </c>
      <c r="I187" s="134">
        <v>10</v>
      </c>
      <c r="J187" s="134">
        <v>10</v>
      </c>
      <c r="K187" s="134">
        <v>10</v>
      </c>
      <c r="L187" s="134">
        <v>10</v>
      </c>
      <c r="M187" s="134">
        <v>10</v>
      </c>
      <c r="N187" s="134">
        <v>10</v>
      </c>
      <c r="O187" s="134">
        <v>10</v>
      </c>
      <c r="P187" s="134">
        <v>10</v>
      </c>
      <c r="Q187" s="134">
        <v>10</v>
      </c>
      <c r="R187" s="134">
        <v>10</v>
      </c>
      <c r="S187" s="134">
        <v>10</v>
      </c>
      <c r="T187" s="135">
        <v>10</v>
      </c>
    </row>
    <row r="188" spans="1:20" ht="15" thickBot="1" x14ac:dyDescent="0.4">
      <c r="A188" s="136"/>
      <c r="B188" s="136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6"/>
    </row>
    <row r="189" spans="1:20" x14ac:dyDescent="0.35">
      <c r="A189" s="213" t="s">
        <v>284</v>
      </c>
      <c r="B189" s="214"/>
      <c r="C189" s="214"/>
      <c r="D189" s="214"/>
      <c r="E189" s="214"/>
      <c r="F189" s="214"/>
      <c r="G189" s="214"/>
      <c r="H189" s="214"/>
      <c r="I189" s="214"/>
      <c r="J189" s="214"/>
      <c r="K189" s="214"/>
      <c r="L189" s="214"/>
      <c r="M189" s="214"/>
      <c r="N189" s="214"/>
      <c r="O189" s="214"/>
      <c r="P189" s="214"/>
      <c r="Q189" s="214"/>
      <c r="R189" s="214"/>
      <c r="S189" s="214"/>
      <c r="T189" s="215"/>
    </row>
    <row r="190" spans="1:20" ht="15" thickBot="1" x14ac:dyDescent="0.4">
      <c r="A190" s="126" t="s">
        <v>95</v>
      </c>
      <c r="B190" s="127" t="s">
        <v>286</v>
      </c>
      <c r="C190" s="127" t="s">
        <v>287</v>
      </c>
      <c r="D190" s="127" t="s">
        <v>288</v>
      </c>
      <c r="E190" s="127" t="s">
        <v>289</v>
      </c>
      <c r="F190" s="127" t="s">
        <v>290</v>
      </c>
      <c r="G190" s="127" t="s">
        <v>291</v>
      </c>
      <c r="H190" s="127" t="s">
        <v>292</v>
      </c>
      <c r="I190" s="127" t="s">
        <v>293</v>
      </c>
      <c r="J190" s="127" t="s">
        <v>294</v>
      </c>
      <c r="K190" s="127" t="s">
        <v>295</v>
      </c>
      <c r="L190" s="127" t="s">
        <v>296</v>
      </c>
      <c r="M190" s="127" t="s">
        <v>297</v>
      </c>
      <c r="N190" s="127" t="s">
        <v>298</v>
      </c>
      <c r="O190" s="127" t="s">
        <v>299</v>
      </c>
      <c r="P190" s="127" t="s">
        <v>300</v>
      </c>
      <c r="Q190" s="127" t="s">
        <v>301</v>
      </c>
      <c r="R190" s="127" t="s">
        <v>302</v>
      </c>
      <c r="S190" s="127" t="s">
        <v>303</v>
      </c>
      <c r="T190" s="128" t="s">
        <v>304</v>
      </c>
    </row>
    <row r="191" spans="1:20" x14ac:dyDescent="0.35">
      <c r="A191" s="123">
        <v>0</v>
      </c>
      <c r="B191" s="15">
        <v>0</v>
      </c>
      <c r="C191" s="15">
        <v>0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129">
        <v>0</v>
      </c>
    </row>
    <row r="192" spans="1:20" x14ac:dyDescent="0.35">
      <c r="A192" s="130">
        <v>304</v>
      </c>
      <c r="B192" s="131">
        <v>0</v>
      </c>
      <c r="C192" s="131">
        <v>0</v>
      </c>
      <c r="D192" s="131">
        <v>0</v>
      </c>
      <c r="E192" s="131">
        <v>0</v>
      </c>
      <c r="F192" s="131">
        <v>0</v>
      </c>
      <c r="G192" s="131">
        <v>0</v>
      </c>
      <c r="H192" s="131">
        <v>1</v>
      </c>
      <c r="I192" s="131">
        <v>0</v>
      </c>
      <c r="J192" s="131">
        <v>0</v>
      </c>
      <c r="K192" s="131">
        <v>0</v>
      </c>
      <c r="L192" s="131">
        <v>0</v>
      </c>
      <c r="M192" s="131">
        <v>0</v>
      </c>
      <c r="N192" s="131">
        <v>0</v>
      </c>
      <c r="O192" s="131">
        <v>0</v>
      </c>
      <c r="P192" s="131">
        <v>0</v>
      </c>
      <c r="Q192" s="131">
        <v>0</v>
      </c>
      <c r="R192" s="131">
        <v>0</v>
      </c>
      <c r="S192" s="131">
        <v>0</v>
      </c>
      <c r="T192" s="132">
        <v>0</v>
      </c>
    </row>
    <row r="193" spans="1:20" x14ac:dyDescent="0.35">
      <c r="A193" s="130">
        <v>308</v>
      </c>
      <c r="B193" s="131">
        <v>0</v>
      </c>
      <c r="C193" s="131">
        <v>0</v>
      </c>
      <c r="D193" s="131">
        <v>0</v>
      </c>
      <c r="E193" s="131">
        <v>0</v>
      </c>
      <c r="F193" s="131">
        <v>0</v>
      </c>
      <c r="G193" s="131">
        <v>0</v>
      </c>
      <c r="H193" s="131">
        <v>2</v>
      </c>
      <c r="I193" s="131">
        <v>1</v>
      </c>
      <c r="J193" s="131">
        <v>1</v>
      </c>
      <c r="K193" s="131">
        <v>1</v>
      </c>
      <c r="L193" s="131">
        <v>0</v>
      </c>
      <c r="M193" s="131">
        <v>0</v>
      </c>
      <c r="N193" s="131">
        <v>0</v>
      </c>
      <c r="O193" s="131">
        <v>0</v>
      </c>
      <c r="P193" s="131">
        <v>0</v>
      </c>
      <c r="Q193" s="131">
        <v>0</v>
      </c>
      <c r="R193" s="131">
        <v>0</v>
      </c>
      <c r="S193" s="131">
        <v>0</v>
      </c>
      <c r="T193" s="132">
        <v>0</v>
      </c>
    </row>
    <row r="194" spans="1:20" x14ac:dyDescent="0.35">
      <c r="A194" s="130">
        <v>404</v>
      </c>
      <c r="B194" s="131">
        <v>0</v>
      </c>
      <c r="C194" s="131">
        <v>0</v>
      </c>
      <c r="D194" s="131">
        <v>0</v>
      </c>
      <c r="E194" s="131">
        <v>0</v>
      </c>
      <c r="F194" s="131">
        <v>0</v>
      </c>
      <c r="G194" s="131">
        <v>0</v>
      </c>
      <c r="H194" s="131">
        <v>3</v>
      </c>
      <c r="I194" s="131">
        <v>2</v>
      </c>
      <c r="J194" s="131">
        <v>2</v>
      </c>
      <c r="K194" s="131">
        <v>2</v>
      </c>
      <c r="L194" s="131">
        <v>0</v>
      </c>
      <c r="M194" s="131">
        <v>0</v>
      </c>
      <c r="N194" s="131">
        <v>0</v>
      </c>
      <c r="O194" s="131">
        <v>0</v>
      </c>
      <c r="P194" s="131">
        <v>0</v>
      </c>
      <c r="Q194" s="131">
        <v>0</v>
      </c>
      <c r="R194" s="131">
        <v>0</v>
      </c>
      <c r="S194" s="131">
        <v>0</v>
      </c>
      <c r="T194" s="132">
        <v>0</v>
      </c>
    </row>
    <row r="195" spans="1:20" x14ac:dyDescent="0.35">
      <c r="A195" s="130">
        <v>409</v>
      </c>
      <c r="B195" s="131">
        <v>0</v>
      </c>
      <c r="C195" s="131">
        <v>0</v>
      </c>
      <c r="D195" s="131">
        <v>0</v>
      </c>
      <c r="E195" s="131">
        <v>0</v>
      </c>
      <c r="F195" s="131">
        <v>0</v>
      </c>
      <c r="G195" s="131">
        <v>0</v>
      </c>
      <c r="H195" s="131">
        <v>4</v>
      </c>
      <c r="I195" s="131">
        <v>3</v>
      </c>
      <c r="J195" s="131">
        <v>3</v>
      </c>
      <c r="K195" s="131">
        <v>3</v>
      </c>
      <c r="L195" s="131">
        <v>1</v>
      </c>
      <c r="M195" s="131">
        <v>1</v>
      </c>
      <c r="N195" s="131">
        <v>0</v>
      </c>
      <c r="O195" s="131">
        <v>0</v>
      </c>
      <c r="P195" s="131">
        <v>0</v>
      </c>
      <c r="Q195" s="131">
        <v>0</v>
      </c>
      <c r="R195" s="131">
        <v>0</v>
      </c>
      <c r="S195" s="131">
        <v>0</v>
      </c>
      <c r="T195" s="132">
        <v>0</v>
      </c>
    </row>
    <row r="196" spans="1:20" x14ac:dyDescent="0.35">
      <c r="A196" s="130">
        <v>505</v>
      </c>
      <c r="B196" s="131">
        <v>0</v>
      </c>
      <c r="C196" s="131">
        <v>0</v>
      </c>
      <c r="D196" s="131">
        <v>0</v>
      </c>
      <c r="E196" s="131">
        <v>0</v>
      </c>
      <c r="F196" s="131">
        <v>0</v>
      </c>
      <c r="G196" s="131">
        <v>0</v>
      </c>
      <c r="H196" s="131">
        <v>5</v>
      </c>
      <c r="I196" s="131">
        <v>4</v>
      </c>
      <c r="J196" s="131">
        <v>4</v>
      </c>
      <c r="K196" s="131">
        <v>4</v>
      </c>
      <c r="L196" s="131">
        <v>2</v>
      </c>
      <c r="M196" s="131">
        <v>2</v>
      </c>
      <c r="N196" s="131">
        <v>1</v>
      </c>
      <c r="O196" s="131">
        <v>1</v>
      </c>
      <c r="P196" s="131">
        <v>1</v>
      </c>
      <c r="Q196" s="131">
        <v>0</v>
      </c>
      <c r="R196" s="131">
        <v>0</v>
      </c>
      <c r="S196" s="131">
        <v>0</v>
      </c>
      <c r="T196" s="132">
        <v>0</v>
      </c>
    </row>
    <row r="197" spans="1:20" x14ac:dyDescent="0.35">
      <c r="A197" s="130">
        <v>509</v>
      </c>
      <c r="B197" s="131">
        <v>0</v>
      </c>
      <c r="C197" s="131">
        <v>0</v>
      </c>
      <c r="D197" s="131">
        <v>0</v>
      </c>
      <c r="E197" s="131">
        <v>0</v>
      </c>
      <c r="F197" s="131">
        <v>0</v>
      </c>
      <c r="G197" s="131">
        <v>0</v>
      </c>
      <c r="H197" s="131">
        <v>6</v>
      </c>
      <c r="I197" s="131">
        <v>5</v>
      </c>
      <c r="J197" s="131">
        <v>5</v>
      </c>
      <c r="K197" s="131">
        <v>5</v>
      </c>
      <c r="L197" s="131">
        <v>3</v>
      </c>
      <c r="M197" s="131">
        <v>3</v>
      </c>
      <c r="N197" s="131">
        <v>2</v>
      </c>
      <c r="O197" s="131">
        <v>2</v>
      </c>
      <c r="P197" s="131">
        <v>2</v>
      </c>
      <c r="Q197" s="131">
        <v>0</v>
      </c>
      <c r="R197" s="131">
        <v>0</v>
      </c>
      <c r="S197" s="131">
        <v>0</v>
      </c>
      <c r="T197" s="132">
        <v>0</v>
      </c>
    </row>
    <row r="198" spans="1:20" x14ac:dyDescent="0.35">
      <c r="A198" s="130">
        <v>605</v>
      </c>
      <c r="B198" s="131">
        <v>0</v>
      </c>
      <c r="C198" s="131">
        <v>0</v>
      </c>
      <c r="D198" s="131">
        <v>0</v>
      </c>
      <c r="E198" s="131">
        <v>0</v>
      </c>
      <c r="F198" s="131">
        <v>0</v>
      </c>
      <c r="G198" s="131">
        <v>0</v>
      </c>
      <c r="H198" s="131">
        <v>7</v>
      </c>
      <c r="I198" s="131">
        <v>6</v>
      </c>
      <c r="J198" s="131">
        <v>6</v>
      </c>
      <c r="K198" s="131">
        <v>6</v>
      </c>
      <c r="L198" s="131">
        <v>4</v>
      </c>
      <c r="M198" s="131">
        <v>4</v>
      </c>
      <c r="N198" s="131">
        <v>3</v>
      </c>
      <c r="O198" s="131">
        <v>3</v>
      </c>
      <c r="P198" s="131">
        <v>3</v>
      </c>
      <c r="Q198" s="131">
        <v>1</v>
      </c>
      <c r="R198" s="131">
        <v>1</v>
      </c>
      <c r="S198" s="131">
        <v>1</v>
      </c>
      <c r="T198" s="132">
        <v>1</v>
      </c>
    </row>
    <row r="199" spans="1:20" x14ac:dyDescent="0.35">
      <c r="A199" s="130">
        <v>610</v>
      </c>
      <c r="B199" s="131">
        <v>0</v>
      </c>
      <c r="C199" s="131">
        <v>0</v>
      </c>
      <c r="D199" s="131">
        <v>0</v>
      </c>
      <c r="E199" s="131">
        <v>0</v>
      </c>
      <c r="F199" s="131">
        <v>0</v>
      </c>
      <c r="G199" s="131">
        <v>0</v>
      </c>
      <c r="H199" s="131">
        <v>8</v>
      </c>
      <c r="I199" s="131">
        <v>7</v>
      </c>
      <c r="J199" s="131">
        <v>7</v>
      </c>
      <c r="K199" s="131">
        <v>7</v>
      </c>
      <c r="L199" s="131">
        <v>5</v>
      </c>
      <c r="M199" s="131">
        <v>5</v>
      </c>
      <c r="N199" s="131">
        <v>4</v>
      </c>
      <c r="O199" s="131">
        <v>4</v>
      </c>
      <c r="P199" s="131">
        <v>4</v>
      </c>
      <c r="Q199" s="131">
        <v>2</v>
      </c>
      <c r="R199" s="131">
        <v>2</v>
      </c>
      <c r="S199" s="131">
        <v>2</v>
      </c>
      <c r="T199" s="132">
        <v>2</v>
      </c>
    </row>
    <row r="200" spans="1:20" x14ac:dyDescent="0.35">
      <c r="A200" s="130">
        <v>705</v>
      </c>
      <c r="B200" s="131">
        <v>0</v>
      </c>
      <c r="C200" s="131">
        <v>0</v>
      </c>
      <c r="D200" s="131">
        <v>0</v>
      </c>
      <c r="E200" s="131">
        <v>0</v>
      </c>
      <c r="F200" s="131">
        <v>0</v>
      </c>
      <c r="G200" s="131">
        <v>0</v>
      </c>
      <c r="H200" s="131">
        <v>9</v>
      </c>
      <c r="I200" s="131">
        <v>8</v>
      </c>
      <c r="J200" s="131">
        <v>8</v>
      </c>
      <c r="K200" s="131">
        <v>8</v>
      </c>
      <c r="L200" s="131">
        <v>6</v>
      </c>
      <c r="M200" s="131">
        <v>6</v>
      </c>
      <c r="N200" s="131">
        <v>5</v>
      </c>
      <c r="O200" s="131">
        <v>5</v>
      </c>
      <c r="P200" s="131">
        <v>5</v>
      </c>
      <c r="Q200" s="131">
        <v>3</v>
      </c>
      <c r="R200" s="131">
        <v>3</v>
      </c>
      <c r="S200" s="131">
        <v>3</v>
      </c>
      <c r="T200" s="132">
        <v>3</v>
      </c>
    </row>
    <row r="201" spans="1:20" x14ac:dyDescent="0.35">
      <c r="A201" s="130">
        <v>710</v>
      </c>
      <c r="B201" s="131">
        <v>0</v>
      </c>
      <c r="C201" s="131">
        <v>0</v>
      </c>
      <c r="D201" s="131">
        <v>0</v>
      </c>
      <c r="E201" s="131">
        <v>0</v>
      </c>
      <c r="F201" s="131">
        <v>0</v>
      </c>
      <c r="G201" s="131">
        <v>0</v>
      </c>
      <c r="H201" s="131">
        <v>10</v>
      </c>
      <c r="I201" s="131">
        <v>9</v>
      </c>
      <c r="J201" s="131">
        <v>9</v>
      </c>
      <c r="K201" s="131">
        <v>9</v>
      </c>
      <c r="L201" s="131">
        <v>7</v>
      </c>
      <c r="M201" s="131">
        <v>7</v>
      </c>
      <c r="N201" s="131">
        <v>6</v>
      </c>
      <c r="O201" s="131">
        <v>6</v>
      </c>
      <c r="P201" s="131">
        <v>6</v>
      </c>
      <c r="Q201" s="131">
        <v>4</v>
      </c>
      <c r="R201" s="131">
        <v>4</v>
      </c>
      <c r="S201" s="131">
        <v>4</v>
      </c>
      <c r="T201" s="132">
        <v>4</v>
      </c>
    </row>
    <row r="202" spans="1:20" x14ac:dyDescent="0.35">
      <c r="A202" s="130">
        <v>805</v>
      </c>
      <c r="B202" s="131">
        <v>0</v>
      </c>
      <c r="C202" s="131">
        <v>0</v>
      </c>
      <c r="D202" s="131">
        <v>0</v>
      </c>
      <c r="E202" s="131">
        <v>0</v>
      </c>
      <c r="F202" s="131">
        <v>0</v>
      </c>
      <c r="G202" s="131">
        <v>0</v>
      </c>
      <c r="H202" s="131">
        <v>10</v>
      </c>
      <c r="I202" s="131">
        <v>10</v>
      </c>
      <c r="J202" s="131">
        <v>10</v>
      </c>
      <c r="K202" s="131">
        <v>10</v>
      </c>
      <c r="L202" s="131">
        <v>8</v>
      </c>
      <c r="M202" s="131">
        <v>8</v>
      </c>
      <c r="N202" s="131">
        <v>7</v>
      </c>
      <c r="O202" s="131">
        <v>7</v>
      </c>
      <c r="P202" s="131">
        <v>7</v>
      </c>
      <c r="Q202" s="131">
        <v>5</v>
      </c>
      <c r="R202" s="131">
        <v>5</v>
      </c>
      <c r="S202" s="131">
        <v>5</v>
      </c>
      <c r="T202" s="132">
        <v>5</v>
      </c>
    </row>
    <row r="203" spans="1:20" x14ac:dyDescent="0.35">
      <c r="A203" s="130">
        <v>811</v>
      </c>
      <c r="B203" s="131">
        <v>0</v>
      </c>
      <c r="C203" s="131">
        <v>0</v>
      </c>
      <c r="D203" s="131">
        <v>0</v>
      </c>
      <c r="E203" s="131">
        <v>0</v>
      </c>
      <c r="F203" s="131">
        <v>0</v>
      </c>
      <c r="G203" s="131">
        <v>0</v>
      </c>
      <c r="H203" s="131">
        <v>10</v>
      </c>
      <c r="I203" s="131">
        <v>10</v>
      </c>
      <c r="J203" s="131">
        <v>10</v>
      </c>
      <c r="K203" s="131">
        <v>10</v>
      </c>
      <c r="L203" s="131">
        <v>9</v>
      </c>
      <c r="M203" s="131">
        <v>9</v>
      </c>
      <c r="N203" s="131">
        <v>8</v>
      </c>
      <c r="O203" s="131">
        <v>8</v>
      </c>
      <c r="P203" s="131">
        <v>8</v>
      </c>
      <c r="Q203" s="131">
        <v>6</v>
      </c>
      <c r="R203" s="131">
        <v>6</v>
      </c>
      <c r="S203" s="131">
        <v>6</v>
      </c>
      <c r="T203" s="132">
        <v>6</v>
      </c>
    </row>
    <row r="204" spans="1:20" x14ac:dyDescent="0.35">
      <c r="A204" s="130">
        <v>905</v>
      </c>
      <c r="B204" s="131">
        <v>0</v>
      </c>
      <c r="C204" s="131">
        <v>0</v>
      </c>
      <c r="D204" s="131">
        <v>0</v>
      </c>
      <c r="E204" s="131">
        <v>0</v>
      </c>
      <c r="F204" s="131">
        <v>0</v>
      </c>
      <c r="G204" s="131">
        <v>0</v>
      </c>
      <c r="H204" s="131">
        <v>10</v>
      </c>
      <c r="I204" s="131">
        <v>10</v>
      </c>
      <c r="J204" s="131">
        <v>10</v>
      </c>
      <c r="K204" s="131">
        <v>10</v>
      </c>
      <c r="L204" s="131">
        <v>10</v>
      </c>
      <c r="M204" s="131">
        <v>10</v>
      </c>
      <c r="N204" s="131">
        <v>9</v>
      </c>
      <c r="O204" s="131">
        <v>9</v>
      </c>
      <c r="P204" s="131">
        <v>9</v>
      </c>
      <c r="Q204" s="131">
        <v>7</v>
      </c>
      <c r="R204" s="131">
        <v>7</v>
      </c>
      <c r="S204" s="131">
        <v>7</v>
      </c>
      <c r="T204" s="132">
        <v>7</v>
      </c>
    </row>
    <row r="205" spans="1:20" x14ac:dyDescent="0.35">
      <c r="A205" s="130">
        <v>911</v>
      </c>
      <c r="B205" s="131">
        <v>0</v>
      </c>
      <c r="C205" s="131">
        <v>0</v>
      </c>
      <c r="D205" s="131">
        <v>0</v>
      </c>
      <c r="E205" s="131">
        <v>0</v>
      </c>
      <c r="F205" s="131">
        <v>0</v>
      </c>
      <c r="G205" s="131">
        <v>0</v>
      </c>
      <c r="H205" s="131">
        <v>10</v>
      </c>
      <c r="I205" s="131">
        <v>10</v>
      </c>
      <c r="J205" s="131">
        <v>10</v>
      </c>
      <c r="K205" s="131">
        <v>10</v>
      </c>
      <c r="L205" s="131">
        <v>10</v>
      </c>
      <c r="M205" s="131">
        <v>10</v>
      </c>
      <c r="N205" s="131">
        <v>10</v>
      </c>
      <c r="O205" s="131">
        <v>10</v>
      </c>
      <c r="P205" s="131">
        <v>10</v>
      </c>
      <c r="Q205" s="131">
        <v>8</v>
      </c>
      <c r="R205" s="131">
        <v>8</v>
      </c>
      <c r="S205" s="131">
        <v>8</v>
      </c>
      <c r="T205" s="132">
        <v>8</v>
      </c>
    </row>
    <row r="206" spans="1:20" x14ac:dyDescent="0.35">
      <c r="A206" s="130">
        <v>1005</v>
      </c>
      <c r="B206" s="131">
        <v>0</v>
      </c>
      <c r="C206" s="131">
        <v>0</v>
      </c>
      <c r="D206" s="131">
        <v>0</v>
      </c>
      <c r="E206" s="131">
        <v>0</v>
      </c>
      <c r="F206" s="131">
        <v>0</v>
      </c>
      <c r="G206" s="131">
        <v>0</v>
      </c>
      <c r="H206" s="131">
        <v>10</v>
      </c>
      <c r="I206" s="131">
        <v>10</v>
      </c>
      <c r="J206" s="131">
        <v>10</v>
      </c>
      <c r="K206" s="131">
        <v>10</v>
      </c>
      <c r="L206" s="131">
        <v>10</v>
      </c>
      <c r="M206" s="131">
        <v>10</v>
      </c>
      <c r="N206" s="131">
        <v>10</v>
      </c>
      <c r="O206" s="131">
        <v>10</v>
      </c>
      <c r="P206" s="131">
        <v>10</v>
      </c>
      <c r="Q206" s="131">
        <v>9</v>
      </c>
      <c r="R206" s="131">
        <v>9</v>
      </c>
      <c r="S206" s="131">
        <v>9</v>
      </c>
      <c r="T206" s="132">
        <v>9</v>
      </c>
    </row>
    <row r="207" spans="1:20" x14ac:dyDescent="0.35">
      <c r="A207" s="130">
        <v>1011</v>
      </c>
      <c r="B207" s="131">
        <v>0</v>
      </c>
      <c r="C207" s="131">
        <v>0</v>
      </c>
      <c r="D207" s="131">
        <v>0</v>
      </c>
      <c r="E207" s="131">
        <v>0</v>
      </c>
      <c r="F207" s="131">
        <v>0</v>
      </c>
      <c r="G207" s="131">
        <v>0</v>
      </c>
      <c r="H207" s="131">
        <v>10</v>
      </c>
      <c r="I207" s="131">
        <v>10</v>
      </c>
      <c r="J207" s="131">
        <v>10</v>
      </c>
      <c r="K207" s="131">
        <v>10</v>
      </c>
      <c r="L207" s="131">
        <v>10</v>
      </c>
      <c r="M207" s="131">
        <v>10</v>
      </c>
      <c r="N207" s="131">
        <v>10</v>
      </c>
      <c r="O207" s="131">
        <v>10</v>
      </c>
      <c r="P207" s="131">
        <v>10</v>
      </c>
      <c r="Q207" s="131">
        <v>10</v>
      </c>
      <c r="R207" s="131">
        <v>10</v>
      </c>
      <c r="S207" s="131">
        <v>10</v>
      </c>
      <c r="T207" s="132">
        <v>10</v>
      </c>
    </row>
    <row r="208" spans="1:20" x14ac:dyDescent="0.35">
      <c r="A208" s="130">
        <v>1106</v>
      </c>
      <c r="B208" s="131">
        <v>0</v>
      </c>
      <c r="C208" s="131">
        <v>0</v>
      </c>
      <c r="D208" s="131">
        <v>0</v>
      </c>
      <c r="E208" s="131">
        <v>0</v>
      </c>
      <c r="F208" s="131">
        <v>0</v>
      </c>
      <c r="G208" s="131">
        <v>0</v>
      </c>
      <c r="H208" s="131">
        <v>10</v>
      </c>
      <c r="I208" s="131">
        <v>10</v>
      </c>
      <c r="J208" s="131">
        <v>10</v>
      </c>
      <c r="K208" s="131">
        <v>10</v>
      </c>
      <c r="L208" s="131">
        <v>10</v>
      </c>
      <c r="M208" s="131">
        <v>10</v>
      </c>
      <c r="N208" s="131">
        <v>10</v>
      </c>
      <c r="O208" s="131">
        <v>10</v>
      </c>
      <c r="P208" s="131">
        <v>10</v>
      </c>
      <c r="Q208" s="131">
        <v>10</v>
      </c>
      <c r="R208" s="131">
        <v>10</v>
      </c>
      <c r="S208" s="131">
        <v>10</v>
      </c>
      <c r="T208" s="132">
        <v>10</v>
      </c>
    </row>
    <row r="209" spans="1:20" x14ac:dyDescent="0.35">
      <c r="A209" s="130">
        <v>1112</v>
      </c>
      <c r="B209" s="131">
        <v>0</v>
      </c>
      <c r="C209" s="131">
        <v>0</v>
      </c>
      <c r="D209" s="131">
        <v>0</v>
      </c>
      <c r="E209" s="131">
        <v>0</v>
      </c>
      <c r="F209" s="131">
        <v>0</v>
      </c>
      <c r="G209" s="131">
        <v>0</v>
      </c>
      <c r="H209" s="131">
        <v>10</v>
      </c>
      <c r="I209" s="131">
        <v>10</v>
      </c>
      <c r="J209" s="131">
        <v>10</v>
      </c>
      <c r="K209" s="131">
        <v>10</v>
      </c>
      <c r="L209" s="131">
        <v>10</v>
      </c>
      <c r="M209" s="131">
        <v>10</v>
      </c>
      <c r="N209" s="131">
        <v>10</v>
      </c>
      <c r="O209" s="131">
        <v>10</v>
      </c>
      <c r="P209" s="131">
        <v>10</v>
      </c>
      <c r="Q209" s="131">
        <v>10</v>
      </c>
      <c r="R209" s="131">
        <v>10</v>
      </c>
      <c r="S209" s="131">
        <v>10</v>
      </c>
      <c r="T209" s="132">
        <v>10</v>
      </c>
    </row>
    <row r="210" spans="1:20" x14ac:dyDescent="0.35">
      <c r="A210" s="130">
        <v>1206</v>
      </c>
      <c r="B210" s="131">
        <v>0</v>
      </c>
      <c r="C210" s="131">
        <v>0</v>
      </c>
      <c r="D210" s="131">
        <v>0</v>
      </c>
      <c r="E210" s="131">
        <v>0</v>
      </c>
      <c r="F210" s="131">
        <v>0</v>
      </c>
      <c r="G210" s="131">
        <v>0</v>
      </c>
      <c r="H210" s="131">
        <v>10</v>
      </c>
      <c r="I210" s="131">
        <v>10</v>
      </c>
      <c r="J210" s="131">
        <v>10</v>
      </c>
      <c r="K210" s="131">
        <v>10</v>
      </c>
      <c r="L210" s="131">
        <v>10</v>
      </c>
      <c r="M210" s="131">
        <v>10</v>
      </c>
      <c r="N210" s="131">
        <v>10</v>
      </c>
      <c r="O210" s="131">
        <v>10</v>
      </c>
      <c r="P210" s="131">
        <v>10</v>
      </c>
      <c r="Q210" s="131">
        <v>10</v>
      </c>
      <c r="R210" s="131">
        <v>10</v>
      </c>
      <c r="S210" s="131">
        <v>10</v>
      </c>
      <c r="T210" s="132">
        <v>10</v>
      </c>
    </row>
    <row r="211" spans="1:20" x14ac:dyDescent="0.35">
      <c r="A211" s="130">
        <v>1212</v>
      </c>
      <c r="B211" s="131">
        <v>0</v>
      </c>
      <c r="C211" s="131">
        <v>0</v>
      </c>
      <c r="D211" s="131">
        <v>0</v>
      </c>
      <c r="E211" s="131">
        <v>0</v>
      </c>
      <c r="F211" s="131">
        <v>0</v>
      </c>
      <c r="G211" s="131">
        <v>0</v>
      </c>
      <c r="H211" s="131">
        <v>10</v>
      </c>
      <c r="I211" s="131">
        <v>10</v>
      </c>
      <c r="J211" s="131">
        <v>10</v>
      </c>
      <c r="K211" s="131">
        <v>10</v>
      </c>
      <c r="L211" s="131">
        <v>10</v>
      </c>
      <c r="M211" s="131">
        <v>10</v>
      </c>
      <c r="N211" s="131">
        <v>10</v>
      </c>
      <c r="O211" s="131">
        <v>10</v>
      </c>
      <c r="P211" s="131">
        <v>10</v>
      </c>
      <c r="Q211" s="131">
        <v>10</v>
      </c>
      <c r="R211" s="131">
        <v>10</v>
      </c>
      <c r="S211" s="131">
        <v>10</v>
      </c>
      <c r="T211" s="132">
        <v>10</v>
      </c>
    </row>
    <row r="212" spans="1:20" x14ac:dyDescent="0.35">
      <c r="A212" s="126">
        <v>1306</v>
      </c>
      <c r="B212" s="134">
        <v>0</v>
      </c>
      <c r="C212" s="134">
        <v>0</v>
      </c>
      <c r="D212" s="134">
        <v>0</v>
      </c>
      <c r="E212" s="134">
        <v>0</v>
      </c>
      <c r="F212" s="134">
        <v>0</v>
      </c>
      <c r="G212" s="134">
        <v>0</v>
      </c>
      <c r="H212" s="134">
        <v>10</v>
      </c>
      <c r="I212" s="134">
        <v>10</v>
      </c>
      <c r="J212" s="134">
        <v>10</v>
      </c>
      <c r="K212" s="134">
        <v>10</v>
      </c>
      <c r="L212" s="134">
        <v>10</v>
      </c>
      <c r="M212" s="134">
        <v>10</v>
      </c>
      <c r="N212" s="134">
        <v>10</v>
      </c>
      <c r="O212" s="134">
        <v>10</v>
      </c>
      <c r="P212" s="134">
        <v>10</v>
      </c>
      <c r="Q212" s="134">
        <v>10</v>
      </c>
      <c r="R212" s="134">
        <v>10</v>
      </c>
      <c r="S212" s="134">
        <v>10</v>
      </c>
      <c r="T212" s="135">
        <v>10</v>
      </c>
    </row>
    <row r="213" spans="1:20" ht="15" thickBot="1" x14ac:dyDescent="0.4">
      <c r="A213" s="136"/>
      <c r="B213" s="136"/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</row>
    <row r="214" spans="1:20" x14ac:dyDescent="0.35">
      <c r="A214" s="213" t="s">
        <v>285</v>
      </c>
      <c r="B214" s="214"/>
      <c r="C214" s="214"/>
      <c r="D214" s="214"/>
      <c r="E214" s="214"/>
      <c r="F214" s="214"/>
      <c r="G214" s="214"/>
      <c r="H214" s="214"/>
      <c r="I214" s="214"/>
      <c r="J214" s="214"/>
      <c r="K214" s="214"/>
      <c r="L214" s="214"/>
      <c r="M214" s="214"/>
      <c r="N214" s="214"/>
      <c r="O214" s="214"/>
      <c r="P214" s="214"/>
      <c r="Q214" s="214"/>
      <c r="R214" s="214"/>
      <c r="S214" s="214"/>
      <c r="T214" s="215"/>
    </row>
    <row r="215" spans="1:20" ht="15" thickBot="1" x14ac:dyDescent="0.4">
      <c r="A215" s="126" t="s">
        <v>95</v>
      </c>
      <c r="B215" s="127" t="s">
        <v>286</v>
      </c>
      <c r="C215" s="127" t="s">
        <v>287</v>
      </c>
      <c r="D215" s="127" t="s">
        <v>288</v>
      </c>
      <c r="E215" s="127" t="s">
        <v>289</v>
      </c>
      <c r="F215" s="127" t="s">
        <v>290</v>
      </c>
      <c r="G215" s="127" t="s">
        <v>291</v>
      </c>
      <c r="H215" s="127" t="s">
        <v>292</v>
      </c>
      <c r="I215" s="127" t="s">
        <v>293</v>
      </c>
      <c r="J215" s="127" t="s">
        <v>294</v>
      </c>
      <c r="K215" s="127" t="s">
        <v>295</v>
      </c>
      <c r="L215" s="127" t="s">
        <v>296</v>
      </c>
      <c r="M215" s="127" t="s">
        <v>297</v>
      </c>
      <c r="N215" s="127" t="s">
        <v>298</v>
      </c>
      <c r="O215" s="127" t="s">
        <v>299</v>
      </c>
      <c r="P215" s="127" t="s">
        <v>300</v>
      </c>
      <c r="Q215" s="127" t="s">
        <v>301</v>
      </c>
      <c r="R215" s="127" t="s">
        <v>302</v>
      </c>
      <c r="S215" s="127" t="s">
        <v>303</v>
      </c>
      <c r="T215" s="128" t="s">
        <v>304</v>
      </c>
    </row>
    <row r="216" spans="1:20" x14ac:dyDescent="0.35">
      <c r="A216" s="123">
        <v>0</v>
      </c>
      <c r="B216" s="15">
        <v>0</v>
      </c>
      <c r="C216" s="15">
        <v>0</v>
      </c>
      <c r="D216" s="15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29">
        <v>0</v>
      </c>
    </row>
    <row r="217" spans="1:20" x14ac:dyDescent="0.35">
      <c r="A217" s="130">
        <v>304</v>
      </c>
      <c r="B217" s="131">
        <v>0</v>
      </c>
      <c r="C217" s="131">
        <v>0</v>
      </c>
      <c r="D217" s="131">
        <v>0</v>
      </c>
      <c r="E217" s="131">
        <v>0</v>
      </c>
      <c r="F217" s="131">
        <v>0</v>
      </c>
      <c r="G217" s="131">
        <v>0</v>
      </c>
      <c r="H217" s="131">
        <v>1</v>
      </c>
      <c r="I217" s="131">
        <v>0</v>
      </c>
      <c r="J217" s="131">
        <v>0</v>
      </c>
      <c r="K217" s="131">
        <v>0</v>
      </c>
      <c r="L217" s="131">
        <v>0</v>
      </c>
      <c r="M217" s="131">
        <v>0</v>
      </c>
      <c r="N217" s="131">
        <v>0</v>
      </c>
      <c r="O217" s="131">
        <v>0</v>
      </c>
      <c r="P217" s="131">
        <v>0</v>
      </c>
      <c r="Q217" s="131">
        <v>0</v>
      </c>
      <c r="R217" s="131">
        <v>0</v>
      </c>
      <c r="S217" s="131">
        <v>0</v>
      </c>
      <c r="T217" s="132">
        <v>0</v>
      </c>
    </row>
    <row r="218" spans="1:20" x14ac:dyDescent="0.35">
      <c r="A218" s="130">
        <v>308</v>
      </c>
      <c r="B218" s="131">
        <v>0</v>
      </c>
      <c r="C218" s="131">
        <v>0</v>
      </c>
      <c r="D218" s="131">
        <v>0</v>
      </c>
      <c r="E218" s="131">
        <v>0</v>
      </c>
      <c r="F218" s="131">
        <v>0</v>
      </c>
      <c r="G218" s="131">
        <v>0</v>
      </c>
      <c r="H218" s="131">
        <v>2</v>
      </c>
      <c r="I218" s="131">
        <v>0</v>
      </c>
      <c r="J218" s="131">
        <v>0</v>
      </c>
      <c r="K218" s="131">
        <v>0</v>
      </c>
      <c r="L218" s="131">
        <v>0</v>
      </c>
      <c r="M218" s="131">
        <v>0</v>
      </c>
      <c r="N218" s="131">
        <v>0</v>
      </c>
      <c r="O218" s="131">
        <v>0</v>
      </c>
      <c r="P218" s="131">
        <v>0</v>
      </c>
      <c r="Q218" s="131">
        <v>0</v>
      </c>
      <c r="R218" s="131">
        <v>0</v>
      </c>
      <c r="S218" s="131">
        <v>0</v>
      </c>
      <c r="T218" s="132">
        <v>0</v>
      </c>
    </row>
    <row r="219" spans="1:20" x14ac:dyDescent="0.35">
      <c r="A219" s="130">
        <v>404</v>
      </c>
      <c r="B219" s="131">
        <v>0</v>
      </c>
      <c r="C219" s="131">
        <v>0</v>
      </c>
      <c r="D219" s="131">
        <v>0</v>
      </c>
      <c r="E219" s="131">
        <v>0</v>
      </c>
      <c r="F219" s="131">
        <v>0</v>
      </c>
      <c r="G219" s="131">
        <v>0</v>
      </c>
      <c r="H219" s="131">
        <v>3</v>
      </c>
      <c r="I219" s="131">
        <v>1</v>
      </c>
      <c r="J219" s="131">
        <v>1</v>
      </c>
      <c r="K219" s="131">
        <v>1</v>
      </c>
      <c r="L219" s="131">
        <v>0</v>
      </c>
      <c r="M219" s="131">
        <v>0</v>
      </c>
      <c r="N219" s="131">
        <v>0</v>
      </c>
      <c r="O219" s="131">
        <v>0</v>
      </c>
      <c r="P219" s="131">
        <v>0</v>
      </c>
      <c r="Q219" s="131">
        <v>0</v>
      </c>
      <c r="R219" s="131">
        <v>0</v>
      </c>
      <c r="S219" s="131">
        <v>0</v>
      </c>
      <c r="T219" s="132">
        <v>0</v>
      </c>
    </row>
    <row r="220" spans="1:20" x14ac:dyDescent="0.35">
      <c r="A220" s="130">
        <v>409</v>
      </c>
      <c r="B220" s="131">
        <v>0</v>
      </c>
      <c r="C220" s="131">
        <v>0</v>
      </c>
      <c r="D220" s="131">
        <v>0</v>
      </c>
      <c r="E220" s="131">
        <v>0</v>
      </c>
      <c r="F220" s="131">
        <v>0</v>
      </c>
      <c r="G220" s="131">
        <v>0</v>
      </c>
      <c r="H220" s="131">
        <v>4</v>
      </c>
      <c r="I220" s="131">
        <v>2</v>
      </c>
      <c r="J220" s="131">
        <v>2</v>
      </c>
      <c r="K220" s="131">
        <v>2</v>
      </c>
      <c r="L220" s="131">
        <v>0</v>
      </c>
      <c r="M220" s="131">
        <v>0</v>
      </c>
      <c r="N220" s="131">
        <v>0</v>
      </c>
      <c r="O220" s="131">
        <v>0</v>
      </c>
      <c r="P220" s="131">
        <v>0</v>
      </c>
      <c r="Q220" s="131">
        <v>0</v>
      </c>
      <c r="R220" s="131">
        <v>0</v>
      </c>
      <c r="S220" s="131">
        <v>0</v>
      </c>
      <c r="T220" s="132">
        <v>0</v>
      </c>
    </row>
    <row r="221" spans="1:20" x14ac:dyDescent="0.35">
      <c r="A221" s="130">
        <v>505</v>
      </c>
      <c r="B221" s="131">
        <v>0</v>
      </c>
      <c r="C221" s="131">
        <v>0</v>
      </c>
      <c r="D221" s="131">
        <v>0</v>
      </c>
      <c r="E221" s="131">
        <v>0</v>
      </c>
      <c r="F221" s="131">
        <v>0</v>
      </c>
      <c r="G221" s="131">
        <v>0</v>
      </c>
      <c r="H221" s="131">
        <v>5</v>
      </c>
      <c r="I221" s="131">
        <v>3</v>
      </c>
      <c r="J221" s="131">
        <v>3</v>
      </c>
      <c r="K221" s="131">
        <v>3</v>
      </c>
      <c r="L221" s="131">
        <v>0</v>
      </c>
      <c r="M221" s="131">
        <v>0</v>
      </c>
      <c r="N221" s="131">
        <v>0</v>
      </c>
      <c r="O221" s="131">
        <v>0</v>
      </c>
      <c r="P221" s="131">
        <v>0</v>
      </c>
      <c r="Q221" s="131">
        <v>0</v>
      </c>
      <c r="R221" s="131">
        <v>0</v>
      </c>
      <c r="S221" s="131">
        <v>0</v>
      </c>
      <c r="T221" s="132">
        <v>0</v>
      </c>
    </row>
    <row r="222" spans="1:20" x14ac:dyDescent="0.35">
      <c r="A222" s="130">
        <v>509</v>
      </c>
      <c r="B222" s="131">
        <v>0</v>
      </c>
      <c r="C222" s="131">
        <v>0</v>
      </c>
      <c r="D222" s="131">
        <v>0</v>
      </c>
      <c r="E222" s="131">
        <v>0</v>
      </c>
      <c r="F222" s="131">
        <v>0</v>
      </c>
      <c r="G222" s="131">
        <v>0</v>
      </c>
      <c r="H222" s="131">
        <v>6</v>
      </c>
      <c r="I222" s="131">
        <v>4</v>
      </c>
      <c r="J222" s="131">
        <v>4</v>
      </c>
      <c r="K222" s="131">
        <v>4</v>
      </c>
      <c r="L222" s="131">
        <v>0</v>
      </c>
      <c r="M222" s="131">
        <v>0</v>
      </c>
      <c r="N222" s="131">
        <v>0</v>
      </c>
      <c r="O222" s="131">
        <v>0</v>
      </c>
      <c r="P222" s="131">
        <v>0</v>
      </c>
      <c r="Q222" s="131">
        <v>0</v>
      </c>
      <c r="R222" s="131">
        <v>0</v>
      </c>
      <c r="S222" s="131">
        <v>0</v>
      </c>
      <c r="T222" s="132">
        <v>0</v>
      </c>
    </row>
    <row r="223" spans="1:20" x14ac:dyDescent="0.35">
      <c r="A223" s="130">
        <v>605</v>
      </c>
      <c r="B223" s="131">
        <v>0</v>
      </c>
      <c r="C223" s="131">
        <v>0</v>
      </c>
      <c r="D223" s="131">
        <v>0</v>
      </c>
      <c r="E223" s="131">
        <v>0</v>
      </c>
      <c r="F223" s="131">
        <v>0</v>
      </c>
      <c r="G223" s="131">
        <v>0</v>
      </c>
      <c r="H223" s="131">
        <v>7</v>
      </c>
      <c r="I223" s="131">
        <v>5</v>
      </c>
      <c r="J223" s="131">
        <v>5</v>
      </c>
      <c r="K223" s="131">
        <v>5</v>
      </c>
      <c r="L223" s="131">
        <v>1</v>
      </c>
      <c r="M223" s="131">
        <v>1</v>
      </c>
      <c r="N223" s="131">
        <v>0</v>
      </c>
      <c r="O223" s="131">
        <v>0</v>
      </c>
      <c r="P223" s="131">
        <v>0</v>
      </c>
      <c r="Q223" s="131">
        <v>0</v>
      </c>
      <c r="R223" s="131">
        <v>0</v>
      </c>
      <c r="S223" s="131">
        <v>0</v>
      </c>
      <c r="T223" s="132">
        <v>0</v>
      </c>
    </row>
    <row r="224" spans="1:20" x14ac:dyDescent="0.35">
      <c r="A224" s="130">
        <v>610</v>
      </c>
      <c r="B224" s="131">
        <v>0</v>
      </c>
      <c r="C224" s="131">
        <v>0</v>
      </c>
      <c r="D224" s="131">
        <v>0</v>
      </c>
      <c r="E224" s="131">
        <v>0</v>
      </c>
      <c r="F224" s="131">
        <v>0</v>
      </c>
      <c r="G224" s="131">
        <v>0</v>
      </c>
      <c r="H224" s="131">
        <v>8</v>
      </c>
      <c r="I224" s="131">
        <v>6</v>
      </c>
      <c r="J224" s="131">
        <v>6</v>
      </c>
      <c r="K224" s="131">
        <v>6</v>
      </c>
      <c r="L224" s="131">
        <v>2</v>
      </c>
      <c r="M224" s="131">
        <v>2</v>
      </c>
      <c r="N224" s="131">
        <v>0</v>
      </c>
      <c r="O224" s="131">
        <v>0</v>
      </c>
      <c r="P224" s="131">
        <v>0</v>
      </c>
      <c r="Q224" s="131">
        <v>0</v>
      </c>
      <c r="R224" s="131">
        <v>0</v>
      </c>
      <c r="S224" s="131">
        <v>0</v>
      </c>
      <c r="T224" s="132">
        <v>0</v>
      </c>
    </row>
    <row r="225" spans="1:20" x14ac:dyDescent="0.35">
      <c r="A225" s="130">
        <v>705</v>
      </c>
      <c r="B225" s="131">
        <v>0</v>
      </c>
      <c r="C225" s="131">
        <v>0</v>
      </c>
      <c r="D225" s="131">
        <v>0</v>
      </c>
      <c r="E225" s="131">
        <v>0</v>
      </c>
      <c r="F225" s="131">
        <v>0</v>
      </c>
      <c r="G225" s="131">
        <v>0</v>
      </c>
      <c r="H225" s="131">
        <v>9</v>
      </c>
      <c r="I225" s="131">
        <v>7</v>
      </c>
      <c r="J225" s="131">
        <v>7</v>
      </c>
      <c r="K225" s="131">
        <v>7</v>
      </c>
      <c r="L225" s="131">
        <v>3</v>
      </c>
      <c r="M225" s="131">
        <v>3</v>
      </c>
      <c r="N225" s="131">
        <v>1</v>
      </c>
      <c r="O225" s="131">
        <v>1</v>
      </c>
      <c r="P225" s="131">
        <v>1</v>
      </c>
      <c r="Q225" s="131">
        <v>0</v>
      </c>
      <c r="R225" s="131">
        <v>0</v>
      </c>
      <c r="S225" s="131">
        <v>0</v>
      </c>
      <c r="T225" s="132">
        <v>0</v>
      </c>
    </row>
    <row r="226" spans="1:20" x14ac:dyDescent="0.35">
      <c r="A226" s="130">
        <v>710</v>
      </c>
      <c r="B226" s="131">
        <v>0</v>
      </c>
      <c r="C226" s="131">
        <v>0</v>
      </c>
      <c r="D226" s="131">
        <v>0</v>
      </c>
      <c r="E226" s="131">
        <v>0</v>
      </c>
      <c r="F226" s="131">
        <v>0</v>
      </c>
      <c r="G226" s="131">
        <v>0</v>
      </c>
      <c r="H226" s="131">
        <v>10</v>
      </c>
      <c r="I226" s="131">
        <v>8</v>
      </c>
      <c r="J226" s="131">
        <v>8</v>
      </c>
      <c r="K226" s="131">
        <v>8</v>
      </c>
      <c r="L226" s="131">
        <v>4</v>
      </c>
      <c r="M226" s="131">
        <v>4</v>
      </c>
      <c r="N226" s="131">
        <v>2</v>
      </c>
      <c r="O226" s="131">
        <v>2</v>
      </c>
      <c r="P226" s="131">
        <v>2</v>
      </c>
      <c r="Q226" s="131">
        <v>0</v>
      </c>
      <c r="R226" s="131">
        <v>0</v>
      </c>
      <c r="S226" s="131">
        <v>0</v>
      </c>
      <c r="T226" s="132">
        <v>0</v>
      </c>
    </row>
    <row r="227" spans="1:20" x14ac:dyDescent="0.35">
      <c r="A227" s="130">
        <v>805</v>
      </c>
      <c r="B227" s="131">
        <v>0</v>
      </c>
      <c r="C227" s="131">
        <v>0</v>
      </c>
      <c r="D227" s="131">
        <v>0</v>
      </c>
      <c r="E227" s="131">
        <v>0</v>
      </c>
      <c r="F227" s="131">
        <v>0</v>
      </c>
      <c r="G227" s="131">
        <v>0</v>
      </c>
      <c r="H227" s="131">
        <v>10</v>
      </c>
      <c r="I227" s="131">
        <v>9</v>
      </c>
      <c r="J227" s="131">
        <v>9</v>
      </c>
      <c r="K227" s="131">
        <v>9</v>
      </c>
      <c r="L227" s="131">
        <v>5</v>
      </c>
      <c r="M227" s="131">
        <v>5</v>
      </c>
      <c r="N227" s="131">
        <v>3</v>
      </c>
      <c r="O227" s="131">
        <v>3</v>
      </c>
      <c r="P227" s="131">
        <v>3</v>
      </c>
      <c r="Q227" s="131">
        <v>0</v>
      </c>
      <c r="R227" s="131">
        <v>0</v>
      </c>
      <c r="S227" s="131">
        <v>0</v>
      </c>
      <c r="T227" s="132">
        <v>0</v>
      </c>
    </row>
    <row r="228" spans="1:20" x14ac:dyDescent="0.35">
      <c r="A228" s="130">
        <v>811</v>
      </c>
      <c r="B228" s="131">
        <v>0</v>
      </c>
      <c r="C228" s="131">
        <v>0</v>
      </c>
      <c r="D228" s="131">
        <v>0</v>
      </c>
      <c r="E228" s="131">
        <v>0</v>
      </c>
      <c r="F228" s="131">
        <v>0</v>
      </c>
      <c r="G228" s="131">
        <v>0</v>
      </c>
      <c r="H228" s="131">
        <v>10</v>
      </c>
      <c r="I228" s="131">
        <v>10</v>
      </c>
      <c r="J228" s="131">
        <v>10</v>
      </c>
      <c r="K228" s="131">
        <v>10</v>
      </c>
      <c r="L228" s="131">
        <v>6</v>
      </c>
      <c r="M228" s="131">
        <v>6</v>
      </c>
      <c r="N228" s="131">
        <v>4</v>
      </c>
      <c r="O228" s="131">
        <v>4</v>
      </c>
      <c r="P228" s="131">
        <v>4</v>
      </c>
      <c r="Q228" s="131">
        <v>1</v>
      </c>
      <c r="R228" s="131">
        <v>1</v>
      </c>
      <c r="S228" s="131">
        <v>1</v>
      </c>
      <c r="T228" s="132">
        <v>1</v>
      </c>
    </row>
    <row r="229" spans="1:20" x14ac:dyDescent="0.35">
      <c r="A229" s="130">
        <v>905</v>
      </c>
      <c r="B229" s="131">
        <v>0</v>
      </c>
      <c r="C229" s="131">
        <v>0</v>
      </c>
      <c r="D229" s="131">
        <v>0</v>
      </c>
      <c r="E229" s="131">
        <v>0</v>
      </c>
      <c r="F229" s="131">
        <v>0</v>
      </c>
      <c r="G229" s="131">
        <v>0</v>
      </c>
      <c r="H229" s="131">
        <v>10</v>
      </c>
      <c r="I229" s="131">
        <v>10</v>
      </c>
      <c r="J229" s="131">
        <v>10</v>
      </c>
      <c r="K229" s="131">
        <v>10</v>
      </c>
      <c r="L229" s="131">
        <v>7</v>
      </c>
      <c r="M229" s="131">
        <v>7</v>
      </c>
      <c r="N229" s="131">
        <v>5</v>
      </c>
      <c r="O229" s="131">
        <v>5</v>
      </c>
      <c r="P229" s="131">
        <v>5</v>
      </c>
      <c r="Q229" s="131">
        <v>2</v>
      </c>
      <c r="R229" s="131">
        <v>2</v>
      </c>
      <c r="S229" s="131">
        <v>2</v>
      </c>
      <c r="T229" s="132">
        <v>2</v>
      </c>
    </row>
    <row r="230" spans="1:20" x14ac:dyDescent="0.35">
      <c r="A230" s="130">
        <v>911</v>
      </c>
      <c r="B230" s="131">
        <v>0</v>
      </c>
      <c r="C230" s="131">
        <v>0</v>
      </c>
      <c r="D230" s="131">
        <v>0</v>
      </c>
      <c r="E230" s="131">
        <v>0</v>
      </c>
      <c r="F230" s="131">
        <v>0</v>
      </c>
      <c r="G230" s="131">
        <v>0</v>
      </c>
      <c r="H230" s="131">
        <v>10</v>
      </c>
      <c r="I230" s="131">
        <v>10</v>
      </c>
      <c r="J230" s="131">
        <v>10</v>
      </c>
      <c r="K230" s="131">
        <v>10</v>
      </c>
      <c r="L230" s="131">
        <v>8</v>
      </c>
      <c r="M230" s="131">
        <v>8</v>
      </c>
      <c r="N230" s="131">
        <v>6</v>
      </c>
      <c r="O230" s="131">
        <v>6</v>
      </c>
      <c r="P230" s="131">
        <v>6</v>
      </c>
      <c r="Q230" s="131">
        <v>3</v>
      </c>
      <c r="R230" s="131">
        <v>3</v>
      </c>
      <c r="S230" s="131">
        <v>3</v>
      </c>
      <c r="T230" s="132">
        <v>3</v>
      </c>
    </row>
    <row r="231" spans="1:20" x14ac:dyDescent="0.35">
      <c r="A231" s="130">
        <v>1005</v>
      </c>
      <c r="B231" s="131">
        <v>0</v>
      </c>
      <c r="C231" s="131">
        <v>0</v>
      </c>
      <c r="D231" s="131">
        <v>0</v>
      </c>
      <c r="E231" s="131">
        <v>0</v>
      </c>
      <c r="F231" s="131">
        <v>0</v>
      </c>
      <c r="G231" s="131">
        <v>0</v>
      </c>
      <c r="H231" s="131">
        <v>10</v>
      </c>
      <c r="I231" s="131">
        <v>10</v>
      </c>
      <c r="J231" s="131">
        <v>10</v>
      </c>
      <c r="K231" s="131">
        <v>10</v>
      </c>
      <c r="L231" s="131">
        <v>9</v>
      </c>
      <c r="M231" s="131">
        <v>9</v>
      </c>
      <c r="N231" s="131">
        <v>7</v>
      </c>
      <c r="O231" s="131">
        <v>7</v>
      </c>
      <c r="P231" s="131">
        <v>7</v>
      </c>
      <c r="Q231" s="131">
        <v>4</v>
      </c>
      <c r="R231" s="131">
        <v>4</v>
      </c>
      <c r="S231" s="131">
        <v>4</v>
      </c>
      <c r="T231" s="132">
        <v>4</v>
      </c>
    </row>
    <row r="232" spans="1:20" x14ac:dyDescent="0.35">
      <c r="A232" s="130">
        <v>1011</v>
      </c>
      <c r="B232" s="131">
        <v>0</v>
      </c>
      <c r="C232" s="131">
        <v>0</v>
      </c>
      <c r="D232" s="131">
        <v>0</v>
      </c>
      <c r="E232" s="131">
        <v>0</v>
      </c>
      <c r="F232" s="131">
        <v>0</v>
      </c>
      <c r="G232" s="131">
        <v>0</v>
      </c>
      <c r="H232" s="131">
        <v>10</v>
      </c>
      <c r="I232" s="131">
        <v>10</v>
      </c>
      <c r="J232" s="131">
        <v>10</v>
      </c>
      <c r="K232" s="131">
        <v>10</v>
      </c>
      <c r="L232" s="131">
        <v>10</v>
      </c>
      <c r="M232" s="131">
        <v>10</v>
      </c>
      <c r="N232" s="131">
        <v>8</v>
      </c>
      <c r="O232" s="131">
        <v>8</v>
      </c>
      <c r="P232" s="131">
        <v>8</v>
      </c>
      <c r="Q232" s="131">
        <v>5</v>
      </c>
      <c r="R232" s="131">
        <v>5</v>
      </c>
      <c r="S232" s="131">
        <v>5</v>
      </c>
      <c r="T232" s="132">
        <v>5</v>
      </c>
    </row>
    <row r="233" spans="1:20" x14ac:dyDescent="0.35">
      <c r="A233" s="130">
        <v>1106</v>
      </c>
      <c r="B233" s="131">
        <v>0</v>
      </c>
      <c r="C233" s="131">
        <v>0</v>
      </c>
      <c r="D233" s="131">
        <v>0</v>
      </c>
      <c r="E233" s="131">
        <v>0</v>
      </c>
      <c r="F233" s="131">
        <v>0</v>
      </c>
      <c r="G233" s="131">
        <v>0</v>
      </c>
      <c r="H233" s="131">
        <v>10</v>
      </c>
      <c r="I233" s="131">
        <v>10</v>
      </c>
      <c r="J233" s="131">
        <v>10</v>
      </c>
      <c r="K233" s="131">
        <v>10</v>
      </c>
      <c r="L233" s="131">
        <v>10</v>
      </c>
      <c r="M233" s="131">
        <v>10</v>
      </c>
      <c r="N233" s="131">
        <v>9</v>
      </c>
      <c r="O233" s="131">
        <v>9</v>
      </c>
      <c r="P233" s="131">
        <v>9</v>
      </c>
      <c r="Q233" s="131">
        <v>6</v>
      </c>
      <c r="R233" s="131">
        <v>6</v>
      </c>
      <c r="S233" s="131">
        <v>6</v>
      </c>
      <c r="T233" s="132">
        <v>6</v>
      </c>
    </row>
    <row r="234" spans="1:20" x14ac:dyDescent="0.35">
      <c r="A234" s="130">
        <v>1112</v>
      </c>
      <c r="B234" s="131">
        <v>0</v>
      </c>
      <c r="C234" s="131">
        <v>0</v>
      </c>
      <c r="D234" s="131">
        <v>0</v>
      </c>
      <c r="E234" s="131">
        <v>0</v>
      </c>
      <c r="F234" s="131">
        <v>0</v>
      </c>
      <c r="G234" s="131">
        <v>0</v>
      </c>
      <c r="H234" s="131">
        <v>10</v>
      </c>
      <c r="I234" s="131">
        <v>10</v>
      </c>
      <c r="J234" s="131">
        <v>10</v>
      </c>
      <c r="K234" s="131">
        <v>10</v>
      </c>
      <c r="L234" s="131">
        <v>10</v>
      </c>
      <c r="M234" s="131">
        <v>10</v>
      </c>
      <c r="N234" s="131">
        <v>10</v>
      </c>
      <c r="O234" s="131">
        <v>10</v>
      </c>
      <c r="P234" s="131">
        <v>10</v>
      </c>
      <c r="Q234" s="131">
        <v>7</v>
      </c>
      <c r="R234" s="131">
        <v>7</v>
      </c>
      <c r="S234" s="131">
        <v>7</v>
      </c>
      <c r="T234" s="132">
        <v>7</v>
      </c>
    </row>
    <row r="235" spans="1:20" x14ac:dyDescent="0.35">
      <c r="A235" s="130">
        <v>1206</v>
      </c>
      <c r="B235" s="131">
        <v>0</v>
      </c>
      <c r="C235" s="131">
        <v>0</v>
      </c>
      <c r="D235" s="131">
        <v>0</v>
      </c>
      <c r="E235" s="131">
        <v>0</v>
      </c>
      <c r="F235" s="131">
        <v>0</v>
      </c>
      <c r="G235" s="131">
        <v>0</v>
      </c>
      <c r="H235" s="131">
        <v>10</v>
      </c>
      <c r="I235" s="131">
        <v>10</v>
      </c>
      <c r="J235" s="131">
        <v>10</v>
      </c>
      <c r="K235" s="131">
        <v>10</v>
      </c>
      <c r="L235" s="131">
        <v>10</v>
      </c>
      <c r="M235" s="131">
        <v>10</v>
      </c>
      <c r="N235" s="131">
        <v>10</v>
      </c>
      <c r="O235" s="131">
        <v>10</v>
      </c>
      <c r="P235" s="131">
        <v>10</v>
      </c>
      <c r="Q235" s="131">
        <v>8</v>
      </c>
      <c r="R235" s="131">
        <v>8</v>
      </c>
      <c r="S235" s="131">
        <v>8</v>
      </c>
      <c r="T235" s="132">
        <v>8</v>
      </c>
    </row>
    <row r="236" spans="1:20" x14ac:dyDescent="0.35">
      <c r="A236" s="130">
        <v>1212</v>
      </c>
      <c r="B236" s="131">
        <v>0</v>
      </c>
      <c r="C236" s="131">
        <v>0</v>
      </c>
      <c r="D236" s="131">
        <v>0</v>
      </c>
      <c r="E236" s="131">
        <v>0</v>
      </c>
      <c r="F236" s="131">
        <v>0</v>
      </c>
      <c r="G236" s="131">
        <v>0</v>
      </c>
      <c r="H236" s="131">
        <v>10</v>
      </c>
      <c r="I236" s="131">
        <v>10</v>
      </c>
      <c r="J236" s="131">
        <v>10</v>
      </c>
      <c r="K236" s="131">
        <v>10</v>
      </c>
      <c r="L236" s="131">
        <v>10</v>
      </c>
      <c r="M236" s="131">
        <v>10</v>
      </c>
      <c r="N236" s="131">
        <v>10</v>
      </c>
      <c r="O236" s="131">
        <v>10</v>
      </c>
      <c r="P236" s="131">
        <v>10</v>
      </c>
      <c r="Q236" s="131">
        <v>9</v>
      </c>
      <c r="R236" s="131">
        <v>9</v>
      </c>
      <c r="S236" s="131">
        <v>9</v>
      </c>
      <c r="T236" s="132">
        <v>9</v>
      </c>
    </row>
    <row r="237" spans="1:20" x14ac:dyDescent="0.35">
      <c r="A237" s="126">
        <v>1306</v>
      </c>
      <c r="B237" s="134">
        <v>0</v>
      </c>
      <c r="C237" s="134">
        <v>0</v>
      </c>
      <c r="D237" s="134">
        <v>0</v>
      </c>
      <c r="E237" s="134">
        <v>0</v>
      </c>
      <c r="F237" s="134">
        <v>0</v>
      </c>
      <c r="G237" s="134">
        <v>0</v>
      </c>
      <c r="H237" s="134">
        <v>10</v>
      </c>
      <c r="I237" s="134">
        <v>10</v>
      </c>
      <c r="J237" s="134">
        <v>10</v>
      </c>
      <c r="K237" s="134">
        <v>10</v>
      </c>
      <c r="L237" s="134">
        <v>10</v>
      </c>
      <c r="M237" s="134">
        <v>10</v>
      </c>
      <c r="N237" s="134">
        <v>10</v>
      </c>
      <c r="O237" s="134">
        <v>10</v>
      </c>
      <c r="P237" s="134">
        <v>10</v>
      </c>
      <c r="Q237" s="134">
        <v>10</v>
      </c>
      <c r="R237" s="134">
        <v>10</v>
      </c>
      <c r="S237" s="134">
        <v>10</v>
      </c>
      <c r="T237" s="135">
        <v>10</v>
      </c>
    </row>
  </sheetData>
  <mergeCells count="10">
    <mergeCell ref="A1:B1"/>
    <mergeCell ref="A8:B8"/>
    <mergeCell ref="A17:T17"/>
    <mergeCell ref="A51:T51"/>
    <mergeCell ref="A67:T67"/>
    <mergeCell ref="A95:T95"/>
    <mergeCell ref="A129:T129"/>
    <mergeCell ref="A173:T173"/>
    <mergeCell ref="A189:T189"/>
    <mergeCell ref="A214:T214"/>
  </mergeCells>
  <pageMargins left="0.7" right="0.7" top="0.78740157499999996" bottom="0.78740157499999996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161F4-2F7A-4089-8A61-051CCBF408E3}">
  <sheetPr codeName="Tabelle7">
    <tabColor rgb="FF7030A0"/>
  </sheetPr>
  <dimension ref="A1:C15"/>
  <sheetViews>
    <sheetView workbookViewId="0">
      <selection activeCell="F14" sqref="F14"/>
    </sheetView>
  </sheetViews>
  <sheetFormatPr baseColWidth="10" defaultRowHeight="14.5" x14ac:dyDescent="0.35"/>
  <sheetData>
    <row r="1" spans="1:3" ht="15" thickBot="1" x14ac:dyDescent="0.4">
      <c r="A1" s="218" t="s">
        <v>148</v>
      </c>
      <c r="B1" s="219"/>
      <c r="C1" s="220"/>
    </row>
    <row r="2" spans="1:3" ht="15" thickBot="1" x14ac:dyDescent="0.4">
      <c r="A2" s="18" t="s">
        <v>3</v>
      </c>
      <c r="B2" s="19" t="s">
        <v>97</v>
      </c>
      <c r="C2" s="19" t="s">
        <v>96</v>
      </c>
    </row>
    <row r="3" spans="1:3" x14ac:dyDescent="0.35">
      <c r="A3" s="9">
        <v>8</v>
      </c>
      <c r="B3" s="20">
        <v>12.6</v>
      </c>
      <c r="C3" s="20">
        <v>12.6</v>
      </c>
    </row>
    <row r="4" spans="1:3" x14ac:dyDescent="0.35">
      <c r="A4" s="4">
        <v>9</v>
      </c>
      <c r="B4" s="21">
        <v>13.1</v>
      </c>
      <c r="C4" s="21">
        <v>13.1</v>
      </c>
    </row>
    <row r="5" spans="1:3" x14ac:dyDescent="0.35">
      <c r="A5" s="4">
        <v>10</v>
      </c>
      <c r="B5" s="21">
        <v>13.6</v>
      </c>
      <c r="C5" s="21">
        <v>13.9</v>
      </c>
    </row>
    <row r="6" spans="1:3" x14ac:dyDescent="0.35">
      <c r="A6" s="4">
        <v>11</v>
      </c>
      <c r="B6" s="21">
        <v>14.1</v>
      </c>
      <c r="C6" s="21">
        <v>14.4</v>
      </c>
    </row>
    <row r="7" spans="1:3" x14ac:dyDescent="0.35">
      <c r="A7" s="4">
        <v>12</v>
      </c>
      <c r="B7" s="21">
        <v>14.8</v>
      </c>
      <c r="C7" s="21">
        <v>14.9</v>
      </c>
    </row>
    <row r="8" spans="1:3" x14ac:dyDescent="0.35">
      <c r="A8" s="4">
        <v>13</v>
      </c>
      <c r="B8" s="21">
        <v>15.1</v>
      </c>
      <c r="C8" s="21">
        <v>15.4</v>
      </c>
    </row>
    <row r="9" spans="1:3" x14ac:dyDescent="0.35">
      <c r="A9" s="4">
        <v>14</v>
      </c>
      <c r="B9" s="21">
        <v>15.6</v>
      </c>
      <c r="C9" s="21">
        <v>15.9</v>
      </c>
    </row>
    <row r="10" spans="1:3" x14ac:dyDescent="0.35">
      <c r="A10" s="4">
        <v>15</v>
      </c>
      <c r="B10" s="21">
        <v>15.9</v>
      </c>
      <c r="C10" s="21">
        <v>16.399999999999999</v>
      </c>
    </row>
    <row r="11" spans="1:3" x14ac:dyDescent="0.35">
      <c r="A11" s="4">
        <v>16</v>
      </c>
      <c r="B11" s="21">
        <v>15.9</v>
      </c>
      <c r="C11" s="21">
        <v>16.899999999999999</v>
      </c>
    </row>
    <row r="12" spans="1:3" x14ac:dyDescent="0.35">
      <c r="A12" s="4">
        <v>17</v>
      </c>
      <c r="B12" s="21">
        <v>16</v>
      </c>
      <c r="C12" s="21">
        <v>17.2</v>
      </c>
    </row>
    <row r="13" spans="1:3" x14ac:dyDescent="0.35">
      <c r="A13" s="4">
        <v>18</v>
      </c>
      <c r="B13" s="21">
        <v>16.100000000000001</v>
      </c>
      <c r="C13" s="21">
        <v>17.5</v>
      </c>
    </row>
    <row r="14" spans="1:3" x14ac:dyDescent="0.35">
      <c r="A14" s="4">
        <v>19</v>
      </c>
      <c r="B14" s="21">
        <v>16.2</v>
      </c>
      <c r="C14" s="21">
        <v>17.8</v>
      </c>
    </row>
    <row r="15" spans="1:3" ht="15" thickBot="1" x14ac:dyDescent="0.4">
      <c r="A15" s="5">
        <v>20</v>
      </c>
      <c r="B15" s="2">
        <v>16.3</v>
      </c>
      <c r="C15" s="2">
        <v>18.100000000000001</v>
      </c>
    </row>
  </sheetData>
  <sheetProtection algorithmName="SHA-512" hashValue="YUgCuJJgYP4T20jwul724L5+2ameM20I3Y9S7qx9T7A4p+zljoBc9iq9lh/FAaCEbUkuV8nEwaVeJap6OkDWLQ==" saltValue="jKLtrgLRh3Zi6Pn1o8q9GA==" spinCount="100000" sheet="1" objects="1" scenarios="1"/>
  <mergeCells count="1">
    <mergeCell ref="A1:C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tabColor theme="9" tint="0.39997558519241921"/>
    <pageSetUpPr fitToPage="1"/>
  </sheetPr>
  <dimension ref="A1:J70"/>
  <sheetViews>
    <sheetView zoomScale="85" zoomScaleNormal="85" workbookViewId="0">
      <pane ySplit="2" topLeftCell="A3" activePane="bottomLeft" state="frozen"/>
      <selection sqref="A1:H1"/>
      <selection pane="bottomLeft" activeCell="A36" sqref="A36:G36"/>
    </sheetView>
  </sheetViews>
  <sheetFormatPr baseColWidth="10" defaultColWidth="0" defaultRowHeight="14.5" zeroHeight="1" outlineLevelRow="1" x14ac:dyDescent="0.35"/>
  <cols>
    <col min="1" max="1" width="11.453125" customWidth="1"/>
    <col min="2" max="2" width="12.1796875" customWidth="1"/>
    <col min="3" max="3" width="44.81640625" bestFit="1" customWidth="1"/>
    <col min="4" max="5" width="11.453125" style="45" customWidth="1"/>
    <col min="6" max="6" width="16.1796875" style="45" bestFit="1" customWidth="1"/>
    <col min="7" max="7" width="13.81640625" style="45" customWidth="1"/>
    <col min="8" max="8" width="11.453125" customWidth="1"/>
    <col min="9" max="9" width="6.1796875" style="23" hidden="1" customWidth="1"/>
    <col min="10" max="10" width="0" hidden="1" customWidth="1"/>
    <col min="11" max="16384" width="11.453125" hidden="1"/>
  </cols>
  <sheetData>
    <row r="1" spans="1:8" ht="15.5" x14ac:dyDescent="0.35">
      <c r="A1" s="16" t="s">
        <v>1</v>
      </c>
      <c r="B1" s="186" t="s">
        <v>23</v>
      </c>
      <c r="C1" s="187"/>
      <c r="D1" s="187"/>
      <c r="E1" s="188"/>
      <c r="F1" s="51" t="s">
        <v>97</v>
      </c>
      <c r="G1" s="61" t="s">
        <v>24</v>
      </c>
      <c r="H1" s="63">
        <v>2012</v>
      </c>
    </row>
    <row r="2" spans="1:8" ht="16" thickBot="1" x14ac:dyDescent="0.4">
      <c r="A2" s="17" t="s">
        <v>4</v>
      </c>
      <c r="B2" s="198" t="s">
        <v>25</v>
      </c>
      <c r="C2" s="199"/>
      <c r="D2" s="199"/>
      <c r="E2" s="199"/>
      <c r="F2" s="200"/>
      <c r="G2" s="62" t="s">
        <v>3</v>
      </c>
      <c r="H2" s="64">
        <f>2022-H1</f>
        <v>10</v>
      </c>
    </row>
    <row r="3" spans="1:8" ht="15" outlineLevel="1" thickBot="1" x14ac:dyDescent="0.4">
      <c r="A3" s="189" t="s">
        <v>26</v>
      </c>
      <c r="B3" s="190"/>
      <c r="C3" s="190"/>
      <c r="D3" s="190"/>
      <c r="E3" s="191"/>
      <c r="F3" s="46" t="s">
        <v>27</v>
      </c>
      <c r="G3" s="47" t="s">
        <v>28</v>
      </c>
      <c r="H3" s="22" t="s">
        <v>234</v>
      </c>
    </row>
    <row r="4" spans="1:8" outlineLevel="1" x14ac:dyDescent="0.35">
      <c r="A4" s="192" t="s">
        <v>30</v>
      </c>
      <c r="B4" s="193"/>
      <c r="C4" s="193"/>
      <c r="D4" s="193"/>
      <c r="E4" s="194"/>
      <c r="F4" s="25"/>
      <c r="G4" s="55" t="s">
        <v>32</v>
      </c>
      <c r="H4" s="34">
        <f>F4</f>
        <v>0</v>
      </c>
    </row>
    <row r="5" spans="1:8" outlineLevel="1" x14ac:dyDescent="0.35">
      <c r="A5" s="195" t="s">
        <v>85</v>
      </c>
      <c r="B5" s="196"/>
      <c r="C5" s="196"/>
      <c r="D5" s="196"/>
      <c r="E5" s="197"/>
      <c r="F5" s="14"/>
      <c r="G5" s="56" t="s">
        <v>32</v>
      </c>
      <c r="H5" s="35">
        <f>F5</f>
        <v>0</v>
      </c>
    </row>
    <row r="6" spans="1:8" outlineLevel="1" x14ac:dyDescent="0.35">
      <c r="A6" s="195" t="s">
        <v>33</v>
      </c>
      <c r="B6" s="196"/>
      <c r="C6" s="196"/>
      <c r="D6" s="196"/>
      <c r="E6" s="197"/>
      <c r="F6" s="14"/>
      <c r="G6" s="56" t="s">
        <v>31</v>
      </c>
      <c r="H6" s="35">
        <f>IF(F6="",0,VLOOKUP(F6,Punktetabellen!A10:B15,2,1))</f>
        <v>0</v>
      </c>
    </row>
    <row r="7" spans="1:8" outlineLevel="1" x14ac:dyDescent="0.35">
      <c r="A7" s="195" t="s">
        <v>34</v>
      </c>
      <c r="B7" s="196"/>
      <c r="C7" s="196"/>
      <c r="D7" s="196"/>
      <c r="E7" s="197"/>
      <c r="F7" s="14"/>
      <c r="G7" s="56" t="s">
        <v>31</v>
      </c>
      <c r="H7" s="35">
        <f>IF(F7="",0,VLOOKUP(F7,Punktetabellen!A3:B6,2,0))</f>
        <v>0</v>
      </c>
    </row>
    <row r="8" spans="1:8" ht="15" outlineLevel="1" thickBot="1" x14ac:dyDescent="0.4">
      <c r="A8" s="204" t="s">
        <v>35</v>
      </c>
      <c r="B8" s="205"/>
      <c r="C8" s="205"/>
      <c r="D8" s="205"/>
      <c r="E8" s="206"/>
      <c r="F8" s="41"/>
      <c r="G8" s="57" t="s">
        <v>31</v>
      </c>
      <c r="H8" s="36">
        <f>IF(F8="",0,VLOOKUP(F8,Punktetabellen!A3:B6,2,0))</f>
        <v>0</v>
      </c>
    </row>
    <row r="9" spans="1:8" ht="15" thickBot="1" x14ac:dyDescent="0.4">
      <c r="A9" s="210" t="s">
        <v>36</v>
      </c>
      <c r="B9" s="211"/>
      <c r="C9" s="211"/>
      <c r="D9" s="211"/>
      <c r="E9" s="211"/>
      <c r="F9" s="211"/>
      <c r="G9" s="211"/>
      <c r="H9" s="48">
        <f>SUM(H4:H8)</f>
        <v>0</v>
      </c>
    </row>
    <row r="10" spans="1:8" ht="15" outlineLevel="1" thickBot="1" x14ac:dyDescent="0.4">
      <c r="A10" s="189" t="s">
        <v>26</v>
      </c>
      <c r="B10" s="190"/>
      <c r="C10" s="190"/>
      <c r="D10" s="190"/>
      <c r="E10" s="191"/>
      <c r="F10" s="46" t="s">
        <v>27</v>
      </c>
      <c r="G10" s="47" t="s">
        <v>28</v>
      </c>
      <c r="H10" s="22" t="s">
        <v>234</v>
      </c>
    </row>
    <row r="11" spans="1:8" outlineLevel="1" x14ac:dyDescent="0.35">
      <c r="A11" s="207" t="s">
        <v>37</v>
      </c>
      <c r="B11" s="208"/>
      <c r="C11" s="208"/>
      <c r="D11" s="208"/>
      <c r="E11" s="209"/>
      <c r="F11" s="26"/>
      <c r="G11" s="58" t="s">
        <v>31</v>
      </c>
      <c r="H11" s="37">
        <f>IF($F11="",0,VLOOKUP($F11,Pkte_Klimmzug[],$H$2,1))</f>
        <v>0</v>
      </c>
    </row>
    <row r="12" spans="1:8" outlineLevel="1" x14ac:dyDescent="0.35">
      <c r="A12" s="201" t="s">
        <v>38</v>
      </c>
      <c r="B12" s="202"/>
      <c r="C12" s="202"/>
      <c r="D12" s="202"/>
      <c r="E12" s="203"/>
      <c r="F12" s="27"/>
      <c r="G12" s="59" t="s">
        <v>31</v>
      </c>
      <c r="H12" s="38">
        <f>IF($F12="",0,VLOOKUP($F12,Pkte_Beinheben[],$H$2,1))</f>
        <v>0</v>
      </c>
    </row>
    <row r="13" spans="1:8" outlineLevel="1" x14ac:dyDescent="0.35">
      <c r="A13" s="201" t="s">
        <v>88</v>
      </c>
      <c r="B13" s="202"/>
      <c r="C13" s="202"/>
      <c r="D13" s="202"/>
      <c r="E13" s="203"/>
      <c r="F13" s="27"/>
      <c r="G13" s="59" t="s">
        <v>31</v>
      </c>
      <c r="H13" s="38">
        <f>IF($F13="",0,VLOOKUP($F13,Pkte_Flieger[],$H$2,1))</f>
        <v>0</v>
      </c>
    </row>
    <row r="14" spans="1:8" outlineLevel="1" x14ac:dyDescent="0.35">
      <c r="A14" s="201" t="s">
        <v>39</v>
      </c>
      <c r="B14" s="202"/>
      <c r="C14" s="202"/>
      <c r="D14" s="202"/>
      <c r="E14" s="203"/>
      <c r="F14" s="27"/>
      <c r="G14" s="59" t="s">
        <v>31</v>
      </c>
      <c r="H14" s="38">
        <f>IF($F14="",0,VLOOKUP($F14,Pkte_Rollenverbindung[],$H$2,1))</f>
        <v>0</v>
      </c>
    </row>
    <row r="15" spans="1:8" outlineLevel="1" x14ac:dyDescent="0.35">
      <c r="A15" s="201" t="s">
        <v>89</v>
      </c>
      <c r="B15" s="202"/>
      <c r="C15" s="202"/>
      <c r="D15" s="202"/>
      <c r="E15" s="203"/>
      <c r="F15" s="27"/>
      <c r="G15" s="59" t="s">
        <v>31</v>
      </c>
      <c r="H15" s="38">
        <f>IF($F15="",0,VLOOKUP($F15,Pkte_Prellsprung[],$H$2,1))</f>
        <v>0</v>
      </c>
    </row>
    <row r="16" spans="1:8" outlineLevel="1" x14ac:dyDescent="0.35">
      <c r="A16" s="201" t="s">
        <v>90</v>
      </c>
      <c r="B16" s="202"/>
      <c r="C16" s="202"/>
      <c r="D16" s="202"/>
      <c r="E16" s="203"/>
      <c r="F16" s="28"/>
      <c r="G16" s="59" t="s">
        <v>31</v>
      </c>
      <c r="H16" s="38">
        <f>IF($F16="",0,VLOOKUP($F16,Pkte_Handstand[],$H$2,1))</f>
        <v>0</v>
      </c>
    </row>
    <row r="17" spans="1:8" ht="15" outlineLevel="1" thickBot="1" x14ac:dyDescent="0.4">
      <c r="A17" s="112" t="s">
        <v>93</v>
      </c>
      <c r="B17" s="113"/>
      <c r="C17" s="114" t="s">
        <v>269</v>
      </c>
      <c r="D17" s="29"/>
      <c r="E17" s="115" t="s">
        <v>270</v>
      </c>
      <c r="F17" s="29"/>
      <c r="G17" s="60" t="s">
        <v>31</v>
      </c>
      <c r="H17" s="39">
        <f>IF($F17="",0,IF($F$1="weiblich",VLOOKUP((100*$D17+$F17),Pkte_Shuttle_W[],$H$2,1),VLOOKUP((100*$D17+$F17),Pkte_Shuttle_M[],$H$2,1)))</f>
        <v>0</v>
      </c>
    </row>
    <row r="18" spans="1:8" ht="15" thickBot="1" x14ac:dyDescent="0.4">
      <c r="A18" s="161" t="s">
        <v>40</v>
      </c>
      <c r="B18" s="162"/>
      <c r="C18" s="162"/>
      <c r="D18" s="162"/>
      <c r="E18" s="162"/>
      <c r="F18" s="162"/>
      <c r="G18" s="162"/>
      <c r="H18" s="48">
        <f>SUM(H11:H17)</f>
        <v>0</v>
      </c>
    </row>
    <row r="19" spans="1:8" ht="15" outlineLevel="1" thickBot="1" x14ac:dyDescent="0.4">
      <c r="A19" s="159" t="s">
        <v>26</v>
      </c>
      <c r="B19" s="160"/>
      <c r="C19" s="160"/>
      <c r="D19" s="85" t="s">
        <v>235</v>
      </c>
      <c r="E19" s="85" t="s">
        <v>238</v>
      </c>
      <c r="F19" s="85" t="s">
        <v>236</v>
      </c>
      <c r="G19" s="86" t="s">
        <v>28</v>
      </c>
      <c r="H19" s="49" t="s">
        <v>234</v>
      </c>
    </row>
    <row r="20" spans="1:8" outlineLevel="1" x14ac:dyDescent="0.35">
      <c r="A20" s="167" t="s">
        <v>148</v>
      </c>
      <c r="B20" s="168"/>
      <c r="C20" s="116" t="s">
        <v>277</v>
      </c>
      <c r="D20" s="90">
        <f>IF(F1="männlich",VLOOKUP(H2,Standsprünge!A3:C15,3,0),VLOOKUP(H2,Standsprünge!A3:B15,2,0))+IF(C20="Druckmessplatte",0)</f>
        <v>13.6</v>
      </c>
      <c r="E20" s="90"/>
      <c r="F20" s="67"/>
      <c r="G20" s="91" t="s">
        <v>149</v>
      </c>
      <c r="H20" s="88">
        <f>IF(F20="",0,(F20-D20)*10)</f>
        <v>0</v>
      </c>
    </row>
    <row r="21" spans="1:8" outlineLevel="1" x14ac:dyDescent="0.35">
      <c r="A21" s="165" t="str">
        <f>IF(H2&gt;15,"entfällt","TBN")</f>
        <v>TBN</v>
      </c>
      <c r="B21" s="166"/>
      <c r="C21" s="77"/>
      <c r="D21" s="78" t="str">
        <f ca="1">IF(C21="","",VLOOKUP(C21,INDIRECT($C$57),2,0))</f>
        <v/>
      </c>
      <c r="E21" s="78" t="str">
        <f ca="1">IF(C21="","",VLOOKUP(C21,INDIRECT($C$57),3,0))</f>
        <v/>
      </c>
      <c r="F21" s="42"/>
      <c r="G21" s="71" t="str">
        <f>IF(H2&gt;16,"entfällt","Wert - Abzug")</f>
        <v>Wert - Abzug</v>
      </c>
      <c r="H21" s="66">
        <f>IF(A21="entfällt",0,IF(F21="",0,D21-F21))</f>
        <v>0</v>
      </c>
    </row>
    <row r="22" spans="1:8" outlineLevel="1" x14ac:dyDescent="0.35">
      <c r="A22" s="165" t="str">
        <f>IF(H2&gt;15,"entfällt","TBN")</f>
        <v>TBN</v>
      </c>
      <c r="B22" s="166"/>
      <c r="C22" s="77"/>
      <c r="D22" s="78" t="str">
        <f ca="1">IF(C22="","",VLOOKUP(C22,INDIRECT($C$57),2,0))</f>
        <v/>
      </c>
      <c r="E22" s="78" t="str">
        <f ca="1">IF(C22="","",VLOOKUP(C22,INDIRECT($C$57),3,0))</f>
        <v/>
      </c>
      <c r="F22" s="42"/>
      <c r="G22" s="71" t="str">
        <f>IF(H2&gt;16,"entfällt","Wert - Abzug")</f>
        <v>Wert - Abzug</v>
      </c>
      <c r="H22" s="66">
        <f t="shared" ref="H22:H28" si="0">IF(A22="entfällt",0,IF(F22="",0,D22-F22))</f>
        <v>0</v>
      </c>
    </row>
    <row r="23" spans="1:8" outlineLevel="1" x14ac:dyDescent="0.35">
      <c r="A23" s="165" t="str">
        <f>IF(H2&gt;11,"entfällt","TBN")</f>
        <v>TBN</v>
      </c>
      <c r="B23" s="166"/>
      <c r="C23" s="77"/>
      <c r="D23" s="78" t="str">
        <f ca="1">IF(C23="","",VLOOKUP(C23,INDIRECT($C$57),2,0))</f>
        <v/>
      </c>
      <c r="E23" s="78" t="str">
        <f ca="1">IF(C23="","",VLOOKUP(C23,INDIRECT($C$57),3,0))</f>
        <v/>
      </c>
      <c r="F23" s="42"/>
      <c r="G23" s="71" t="str">
        <f>IF(H2&gt;16,"entfällt","Wert - Abzug")</f>
        <v>Wert - Abzug</v>
      </c>
      <c r="H23" s="66">
        <f t="shared" si="0"/>
        <v>0</v>
      </c>
    </row>
    <row r="24" spans="1:8" outlineLevel="1" x14ac:dyDescent="0.35">
      <c r="A24" s="110" t="s">
        <v>147</v>
      </c>
      <c r="B24" s="111"/>
      <c r="C24" s="77"/>
      <c r="D24" s="78"/>
      <c r="E24" s="78"/>
      <c r="F24" s="42"/>
      <c r="G24" s="71" t="s">
        <v>146</v>
      </c>
      <c r="H24" s="66">
        <f t="shared" si="0"/>
        <v>0</v>
      </c>
    </row>
    <row r="25" spans="1:8" outlineLevel="1" x14ac:dyDescent="0.35">
      <c r="A25" s="110" t="s">
        <v>147</v>
      </c>
      <c r="B25" s="111"/>
      <c r="C25" s="77"/>
      <c r="D25" s="78"/>
      <c r="E25" s="78"/>
      <c r="F25" s="42"/>
      <c r="G25" s="71" t="s">
        <v>146</v>
      </c>
      <c r="H25" s="66">
        <f t="shared" si="0"/>
        <v>0</v>
      </c>
    </row>
    <row r="26" spans="1:8" outlineLevel="1" x14ac:dyDescent="0.35">
      <c r="A26" s="110" t="s">
        <v>147</v>
      </c>
      <c r="B26" s="111"/>
      <c r="C26" s="77"/>
      <c r="D26" s="78"/>
      <c r="E26" s="78"/>
      <c r="F26" s="42"/>
      <c r="G26" s="71" t="s">
        <v>146</v>
      </c>
      <c r="H26" s="66">
        <f t="shared" si="0"/>
        <v>0</v>
      </c>
    </row>
    <row r="27" spans="1:8" outlineLevel="1" x14ac:dyDescent="0.35">
      <c r="A27" s="110" t="str">
        <f>IF(H2&gt;11,"TN","entfällt")</f>
        <v>entfällt</v>
      </c>
      <c r="B27" s="111"/>
      <c r="C27" s="77"/>
      <c r="D27" s="78"/>
      <c r="E27" s="78"/>
      <c r="F27" s="42"/>
      <c r="G27" s="71" t="str">
        <f>IF(H2&gt;12,"Wert - Abzug","entfällt")</f>
        <v>entfällt</v>
      </c>
      <c r="H27" s="66">
        <f t="shared" si="0"/>
        <v>0</v>
      </c>
    </row>
    <row r="28" spans="1:8" outlineLevel="1" x14ac:dyDescent="0.35">
      <c r="A28" s="110" t="str">
        <f>IF(H2&gt;15,"TN","entfällt")</f>
        <v>entfällt</v>
      </c>
      <c r="B28" s="111"/>
      <c r="C28" s="77"/>
      <c r="D28" s="78"/>
      <c r="E28" s="78"/>
      <c r="F28" s="42"/>
      <c r="G28" s="71" t="str">
        <f>IF(H2&gt;16,"Wert - Abzug","entfällt")</f>
        <v>entfällt</v>
      </c>
      <c r="H28" s="66">
        <f t="shared" si="0"/>
        <v>0</v>
      </c>
    </row>
    <row r="29" spans="1:8" outlineLevel="1" x14ac:dyDescent="0.35">
      <c r="A29" s="110" t="str">
        <f>IF(H2&gt;15,"TN","entfällt")</f>
        <v>entfällt</v>
      </c>
      <c r="B29" s="111"/>
      <c r="C29" s="77"/>
      <c r="D29" s="78"/>
      <c r="E29" s="78"/>
      <c r="F29" s="42"/>
      <c r="G29" s="71" t="str">
        <f>IF(H2&gt;16,"Wert - Abzug","entfällt")</f>
        <v>entfällt</v>
      </c>
      <c r="H29" s="66">
        <f>IF(A29="entfällt",0,IF(F29="",0,D29-F29))</f>
        <v>0</v>
      </c>
    </row>
    <row r="30" spans="1:8" outlineLevel="1" x14ac:dyDescent="0.35">
      <c r="A30" s="165" t="str">
        <f>IF($H$2&gt;10,"Verbindung Sprung 1","entfällt")</f>
        <v>entfällt</v>
      </c>
      <c r="B30" s="166"/>
      <c r="C30" s="40" t="str">
        <f ca="1">IF(A30&lt;&gt;"entfällt",VLOOKUP(1,INDIRECT($C$68),2,0),"")</f>
        <v/>
      </c>
      <c r="D30" s="40" t="str">
        <f ca="1">IF(A30&lt;&gt;"entfällt",VLOOKUP(1,INDIRECT($C$68),3,0),"")</f>
        <v/>
      </c>
      <c r="E30" s="40" t="str">
        <f ca="1">IF(A30&lt;&gt;"entfällt",VLOOKUP(1,INDIRECT($C$68),4,0),"")</f>
        <v/>
      </c>
      <c r="F30" s="42">
        <v>5</v>
      </c>
      <c r="G30" s="71" t="str">
        <f>IF(H2&gt;12,"Wert - Abzug","entfällt")</f>
        <v>entfällt</v>
      </c>
      <c r="H30" s="66"/>
    </row>
    <row r="31" spans="1:8" outlineLevel="1" x14ac:dyDescent="0.35">
      <c r="A31" s="165" t="str">
        <f>IF($H$2&gt;10,"Verbindung Sprung 2","entfällt")</f>
        <v>entfällt</v>
      </c>
      <c r="B31" s="166"/>
      <c r="C31" s="40" t="str">
        <f ca="1">IF(A31&lt;&gt;"entfällt",VLOOKUP(2,INDIRECT($C$68),2,0),"")</f>
        <v/>
      </c>
      <c r="D31" s="40" t="str">
        <f ca="1">IF(A31&lt;&gt;"entfällt",VLOOKUP(2,INDIRECT($C$68),3,0),"")</f>
        <v/>
      </c>
      <c r="E31" s="40" t="str">
        <f ca="1">IF(A31&lt;&gt;"entfällt",VLOOKUP(2,INDIRECT($C$68),4,0),"")</f>
        <v/>
      </c>
      <c r="F31" s="42">
        <v>5</v>
      </c>
      <c r="G31" s="71" t="str">
        <f>IF(H2&gt;12,"Wert - Abzug","entfällt")</f>
        <v>entfällt</v>
      </c>
      <c r="H31" s="66"/>
    </row>
    <row r="32" spans="1:8" outlineLevel="1" x14ac:dyDescent="0.35">
      <c r="A32" s="165" t="str">
        <f>IF($H$2&gt;10,"Verbindung Sprung 3","entfällt")</f>
        <v>entfällt</v>
      </c>
      <c r="B32" s="166"/>
      <c r="C32" s="40" t="str">
        <f ca="1">IF(A32&lt;&gt;"entfällt",VLOOKUP(3,INDIRECT($C$68),2,0),"")</f>
        <v/>
      </c>
      <c r="D32" s="40" t="str">
        <f ca="1">IF(A32&lt;&gt;"entfällt",VLOOKUP(3,INDIRECT($C$68),3,0),"")</f>
        <v/>
      </c>
      <c r="E32" s="40" t="str">
        <f ca="1">IF(A32&lt;&gt;"entfällt",VLOOKUP(3,INDIRECT($C$68),4,0),"")</f>
        <v/>
      </c>
      <c r="F32" s="42">
        <v>5</v>
      </c>
      <c r="G32" s="71" t="str">
        <f>IF(H2&gt;12,"Wert - Abzug","entfällt")</f>
        <v>entfällt</v>
      </c>
      <c r="H32" s="66"/>
    </row>
    <row r="33" spans="1:8" outlineLevel="1" x14ac:dyDescent="0.35">
      <c r="A33" s="165" t="str">
        <f>IF($H$2&gt;10,"Verbindung Sprung 4","entfällt")</f>
        <v>entfällt</v>
      </c>
      <c r="B33" s="166"/>
      <c r="C33" s="40" t="str">
        <f ca="1">IF(A33&lt;&gt;"entfällt",VLOOKUP(4,INDIRECT($C$68),2,0),"")</f>
        <v/>
      </c>
      <c r="D33" s="40" t="str">
        <f ca="1">IF(A33&lt;&gt;"entfällt",VLOOKUP(4,INDIRECT($C$68),3,0),"")</f>
        <v/>
      </c>
      <c r="E33" s="40" t="str">
        <f ca="1">IF(A33&lt;&gt;"entfällt",VLOOKUP(4,INDIRECT($C$68),4,0),"")</f>
        <v/>
      </c>
      <c r="F33" s="42">
        <v>5</v>
      </c>
      <c r="G33" s="71" t="str">
        <f>IF(H2&gt;12,"Wert - Abzug","entfällt")</f>
        <v>entfällt</v>
      </c>
      <c r="H33" s="66"/>
    </row>
    <row r="34" spans="1:8" outlineLevel="1" x14ac:dyDescent="0.35">
      <c r="A34" s="165" t="str">
        <f>IF($H$2&gt;10,"Verbindung Sprung 5","entfällt")</f>
        <v>entfällt</v>
      </c>
      <c r="B34" s="166"/>
      <c r="C34" s="40" t="str">
        <f ca="1">IF(A34&lt;&gt;"entfällt",VLOOKUP(5,INDIRECT($C$68),2,0),"")</f>
        <v/>
      </c>
      <c r="D34" s="40" t="str">
        <f ca="1">IF(A34&lt;&gt;"entfällt",VLOOKUP(5,INDIRECT($C$68),3,0),"")</f>
        <v/>
      </c>
      <c r="E34" s="40" t="str">
        <f ca="1">IF(A34&lt;&gt;"entfällt",VLOOKUP(5,INDIRECT($C$68),4,0),"")</f>
        <v/>
      </c>
      <c r="F34" s="42">
        <v>5</v>
      </c>
      <c r="G34" s="71" t="str">
        <f>IF(H2&gt;12,"Wert - Abzug","entfällt")</f>
        <v>entfällt</v>
      </c>
      <c r="H34" s="66"/>
    </row>
    <row r="35" spans="1:8" ht="15" outlineLevel="1" thickBot="1" x14ac:dyDescent="0.4">
      <c r="A35" s="171" t="str">
        <f>IF($H$2&gt;10,"Verbindung Sprung 6","entfällt")</f>
        <v>entfällt</v>
      </c>
      <c r="B35" s="172"/>
      <c r="C35" s="68" t="str">
        <f ca="1">IF(A35&lt;&gt;"entfällt",VLOOKUP(6,INDIRECT($C$68),2,0),"")</f>
        <v/>
      </c>
      <c r="D35" s="68" t="str">
        <f ca="1">IF(A35&lt;&gt;"entfällt",VLOOKUP(6,INDIRECT($C$68),3,0),"")</f>
        <v/>
      </c>
      <c r="E35" s="68" t="str">
        <f ca="1">IF(A35&lt;&gt;"entfällt",VLOOKUP(6,INDIRECT($C$68),4,0),"")</f>
        <v/>
      </c>
      <c r="F35" s="69">
        <v>5</v>
      </c>
      <c r="G35" s="72" t="str">
        <f>IF(H2&gt;12,"Wert - Abzug","entfällt")</f>
        <v>entfällt</v>
      </c>
      <c r="H35" s="70">
        <f>30-F30-F31-F32-F33-F34-F35</f>
        <v>0</v>
      </c>
    </row>
    <row r="36" spans="1:8" ht="15" thickBot="1" x14ac:dyDescent="0.4">
      <c r="A36" s="173" t="s">
        <v>41</v>
      </c>
      <c r="B36" s="174"/>
      <c r="C36" s="174"/>
      <c r="D36" s="174"/>
      <c r="E36" s="174"/>
      <c r="F36" s="174"/>
      <c r="G36" s="175"/>
      <c r="H36" s="89">
        <f>SUM(H20:H35)</f>
        <v>0</v>
      </c>
    </row>
    <row r="37" spans="1:8" ht="15" outlineLevel="1" thickBot="1" x14ac:dyDescent="0.4">
      <c r="A37" s="181" t="s">
        <v>99</v>
      </c>
      <c r="B37" s="182"/>
      <c r="C37" s="182"/>
      <c r="D37" s="183"/>
      <c r="E37" s="85" t="s">
        <v>27</v>
      </c>
      <c r="F37" s="85" t="s">
        <v>237</v>
      </c>
      <c r="G37" s="86" t="s">
        <v>28</v>
      </c>
      <c r="H37" s="49" t="s">
        <v>234</v>
      </c>
    </row>
    <row r="38" spans="1:8" outlineLevel="1" x14ac:dyDescent="0.35">
      <c r="A38" s="179" t="str">
        <f ca="1">VLOOKUP(1,INDIRECT($C$65),2,0)</f>
        <v>Flugrolle mit Anlauf</v>
      </c>
      <c r="B38" s="180"/>
      <c r="C38" s="180"/>
      <c r="D38" s="180"/>
      <c r="E38" s="92">
        <f ca="1">VLOOKUP(1,INDIRECT($C$65),3,0)</f>
        <v>3</v>
      </c>
      <c r="F38" s="79"/>
      <c r="G38" s="80" t="s">
        <v>146</v>
      </c>
      <c r="H38" s="84">
        <f ca="1">IF(E38=" ","",IF(F38="",0,E38-F38))</f>
        <v>0</v>
      </c>
    </row>
    <row r="39" spans="1:8" outlineLevel="1" x14ac:dyDescent="0.35">
      <c r="A39" s="163" t="str">
        <f ca="1">VLOOKUP(2,INDIRECT($C$65),2,0)</f>
        <v>Grätschwinkelsprung</v>
      </c>
      <c r="B39" s="164"/>
      <c r="C39" s="164"/>
      <c r="D39" s="164"/>
      <c r="E39" s="87">
        <f ca="1">VLOOKUP(2,INDIRECT($C$65),3,0)</f>
        <v>3</v>
      </c>
      <c r="F39" s="43"/>
      <c r="G39" s="81" t="s">
        <v>146</v>
      </c>
      <c r="H39" s="84">
        <f t="shared" ref="H39:H49" ca="1" si="1">IF(E39=" ","",IF(F39="",0,E39-F39))</f>
        <v>0</v>
      </c>
    </row>
    <row r="40" spans="1:8" outlineLevel="1" x14ac:dyDescent="0.35">
      <c r="A40" s="163" t="str">
        <f ca="1">VLOOKUP(3,INDIRECT($C$65),2,0)</f>
        <v>Vorspreizen, Handstandhüpfer, Abrollen Hockstand</v>
      </c>
      <c r="B40" s="164"/>
      <c r="C40" s="164"/>
      <c r="D40" s="164"/>
      <c r="E40" s="87">
        <f ca="1">VLOOKUP(3,INDIRECT($C$65),3,0)</f>
        <v>3</v>
      </c>
      <c r="F40" s="43"/>
      <c r="G40" s="81" t="s">
        <v>146</v>
      </c>
      <c r="H40" s="84">
        <f t="shared" ca="1" si="1"/>
        <v>0</v>
      </c>
    </row>
    <row r="41" spans="1:8" outlineLevel="1" x14ac:dyDescent="0.35">
      <c r="A41" s="163" t="str">
        <f ca="1">VLOOKUP(4,INDIRECT($C$65),2,0)</f>
        <v>Absprung gehockt zum Handstand</v>
      </c>
      <c r="B41" s="164"/>
      <c r="C41" s="164"/>
      <c r="D41" s="164"/>
      <c r="E41" s="87">
        <f ca="1">VLOOKUP(4,INDIRECT($C$65),3,0)</f>
        <v>2</v>
      </c>
      <c r="F41" s="43"/>
      <c r="G41" s="81" t="s">
        <v>146</v>
      </c>
      <c r="H41" s="84">
        <f t="shared" ca="1" si="1"/>
        <v>0</v>
      </c>
    </row>
    <row r="42" spans="1:8" outlineLevel="1" x14ac:dyDescent="0.35">
      <c r="A42" s="163" t="str">
        <f ca="1">VLOOKUP(5,INDIRECT($C$65),2,0)</f>
        <v>1/2 Drehung, abrollen in den Stand</v>
      </c>
      <c r="B42" s="164"/>
      <c r="C42" s="164"/>
      <c r="D42" s="164"/>
      <c r="E42" s="87">
        <f ca="1">VLOOKUP(5,INDIRECT($C$65),3,0)</f>
        <v>4</v>
      </c>
      <c r="F42" s="43"/>
      <c r="G42" s="81" t="s">
        <v>146</v>
      </c>
      <c r="H42" s="84">
        <f t="shared" ca="1" si="1"/>
        <v>0</v>
      </c>
    </row>
    <row r="43" spans="1:8" outlineLevel="1" x14ac:dyDescent="0.35">
      <c r="A43" s="163" t="str">
        <f ca="1">VLOOKUP(6,INDIRECT($C$65),2,0)</f>
        <v>Vorspreizen, Beistellschritt, Strecksprung 1/1 Drehung</v>
      </c>
      <c r="B43" s="164"/>
      <c r="C43" s="164"/>
      <c r="D43" s="164"/>
      <c r="E43" s="87">
        <f ca="1">VLOOKUP(6,INDIRECT($C$65),3,0)</f>
        <v>3</v>
      </c>
      <c r="F43" s="43"/>
      <c r="G43" s="81" t="s">
        <v>146</v>
      </c>
      <c r="H43" s="84">
        <f t="shared" ca="1" si="1"/>
        <v>0</v>
      </c>
    </row>
    <row r="44" spans="1:8" outlineLevel="1" x14ac:dyDescent="0.35">
      <c r="A44" s="163" t="str">
        <f ca="1">VLOOKUP(7,INDIRECT($C$65),2,0)</f>
        <v>Vorspreizen, Standwaage</v>
      </c>
      <c r="B44" s="164"/>
      <c r="C44" s="164"/>
      <c r="D44" s="164"/>
      <c r="E44" s="87">
        <f ca="1">VLOOKUP(7,INDIRECT($C$65),3,0)</f>
        <v>2</v>
      </c>
      <c r="F44" s="43"/>
      <c r="G44" s="81" t="s">
        <v>146</v>
      </c>
      <c r="H44" s="84">
        <f t="shared" ca="1" si="1"/>
        <v>0</v>
      </c>
    </row>
    <row r="45" spans="1:8" outlineLevel="1" x14ac:dyDescent="0.35">
      <c r="A45" s="163" t="str">
        <f ca="1">VLOOKUP(8,INDIRECT($C$65),2,0)</f>
        <v>Vorspreizen, Standwaage andere Seite</v>
      </c>
      <c r="B45" s="164"/>
      <c r="C45" s="164"/>
      <c r="D45" s="164"/>
      <c r="E45" s="87">
        <f ca="1">VLOOKUP(8,INDIRECT($C$65),3,0)</f>
        <v>2</v>
      </c>
      <c r="F45" s="43"/>
      <c r="G45" s="81" t="s">
        <v>146</v>
      </c>
      <c r="H45" s="84">
        <f t="shared" ca="1" si="1"/>
        <v>0</v>
      </c>
    </row>
    <row r="46" spans="1:8" outlineLevel="1" x14ac:dyDescent="0.35">
      <c r="A46" s="163" t="str">
        <f ca="1">VLOOKUP(9,INDIRECT($C$65),2,0)</f>
        <v>Rolle rückwärts durch Handstand</v>
      </c>
      <c r="B46" s="164"/>
      <c r="C46" s="164"/>
      <c r="D46" s="164"/>
      <c r="E46" s="87">
        <f ca="1">VLOOKUP(9,INDIRECT($C$65),3,0)</f>
        <v>4</v>
      </c>
      <c r="F46" s="43"/>
      <c r="G46" s="81" t="str">
        <f>IF(H2&gt;16,"","Wert - Abzug")</f>
        <v>Wert - Abzug</v>
      </c>
      <c r="H46" s="84">
        <f t="shared" ca="1" si="1"/>
        <v>0</v>
      </c>
    </row>
    <row r="47" spans="1:8" outlineLevel="1" x14ac:dyDescent="0.35">
      <c r="A47" s="163" t="str">
        <f ca="1">VLOOKUP(10,INDIRECT($C$65),2,0)</f>
        <v>Vorspreizen, Rad</v>
      </c>
      <c r="B47" s="164"/>
      <c r="C47" s="164"/>
      <c r="D47" s="164"/>
      <c r="E47" s="87">
        <f ca="1">VLOOKUP(10,INDIRECT($C$65),3,0)</f>
        <v>2</v>
      </c>
      <c r="F47" s="43"/>
      <c r="G47" s="81" t="str">
        <f>IF(H2&gt;16,"","Wert - Abzug")</f>
        <v>Wert - Abzug</v>
      </c>
      <c r="H47" s="84">
        <f t="shared" ca="1" si="1"/>
        <v>0</v>
      </c>
    </row>
    <row r="48" spans="1:8" outlineLevel="1" x14ac:dyDescent="0.35">
      <c r="A48" s="163" t="str">
        <f ca="1">VLOOKUP(11,INDIRECT($C$65),2,0)</f>
        <v>Vorspreizen, Rad, andere Richtung</v>
      </c>
      <c r="B48" s="164"/>
      <c r="C48" s="164"/>
      <c r="D48" s="164"/>
      <c r="E48" s="87">
        <f ca="1">VLOOKUP(11,INDIRECT($C$65),3,0)</f>
        <v>2</v>
      </c>
      <c r="F48" s="43"/>
      <c r="G48" s="81" t="str">
        <f>IF(H2&gt;13,"","Wert - Abzug")</f>
        <v>Wert - Abzug</v>
      </c>
      <c r="H48" s="84">
        <f t="shared" ca="1" si="1"/>
        <v>0</v>
      </c>
    </row>
    <row r="49" spans="1:8" ht="15" outlineLevel="1" thickBot="1" x14ac:dyDescent="0.4">
      <c r="A49" s="184" t="str">
        <f ca="1">VLOOKUP(12,INDIRECT($C$65),2,0)</f>
        <v xml:space="preserve"> </v>
      </c>
      <c r="B49" s="185"/>
      <c r="C49" s="185"/>
      <c r="D49" s="185"/>
      <c r="E49" s="93" t="str">
        <f ca="1">VLOOKUP(12,INDIRECT($C$65),3,0)</f>
        <v xml:space="preserve"> </v>
      </c>
      <c r="F49" s="82"/>
      <c r="G49" s="83" t="str">
        <f>IF(OR(H2=9,H2=12,H2=13),"Wert - Abzug","")</f>
        <v/>
      </c>
      <c r="H49" s="84" t="str">
        <f t="shared" ca="1" si="1"/>
        <v/>
      </c>
    </row>
    <row r="50" spans="1:8" ht="15" thickBot="1" x14ac:dyDescent="0.4">
      <c r="A50" s="176" t="s">
        <v>98</v>
      </c>
      <c r="B50" s="177"/>
      <c r="C50" s="177"/>
      <c r="D50" s="177"/>
      <c r="E50" s="177"/>
      <c r="F50" s="177"/>
      <c r="G50" s="178"/>
      <c r="H50" s="44">
        <f ca="1">SUM(H38:H49)</f>
        <v>0</v>
      </c>
    </row>
    <row r="51" spans="1:8" ht="16" thickBot="1" x14ac:dyDescent="0.4">
      <c r="A51" s="169" t="s">
        <v>42</v>
      </c>
      <c r="B51" s="170"/>
      <c r="C51" s="170"/>
      <c r="D51" s="170"/>
      <c r="E51" s="170"/>
      <c r="F51" s="170"/>
      <c r="G51" s="170"/>
      <c r="H51" s="94">
        <f ca="1">SUM(H9,H18,H36,H50)</f>
        <v>0</v>
      </c>
    </row>
    <row r="52" spans="1:8" s="23" customFormat="1" x14ac:dyDescent="0.35">
      <c r="D52" s="50"/>
      <c r="E52" s="50"/>
      <c r="F52" s="50"/>
      <c r="G52" s="50"/>
    </row>
    <row r="53" spans="1:8" s="23" customFormat="1" hidden="1" x14ac:dyDescent="0.35">
      <c r="C53" s="24"/>
      <c r="D53" s="50"/>
      <c r="E53" s="50"/>
      <c r="F53" s="50"/>
      <c r="G53" s="50"/>
    </row>
    <row r="54" spans="1:8" s="23" customFormat="1" hidden="1" x14ac:dyDescent="0.35">
      <c r="B54" s="23" t="s">
        <v>249</v>
      </c>
      <c r="C54" s="23" t="str">
        <f>IF(H2&lt;13,"beide",F1)</f>
        <v>beide</v>
      </c>
      <c r="D54" s="50"/>
      <c r="E54" s="50"/>
      <c r="F54" s="50"/>
      <c r="G54" s="50"/>
    </row>
    <row r="55" spans="1:8" s="23" customFormat="1" hidden="1" x14ac:dyDescent="0.35">
      <c r="B55" s="23" t="s">
        <v>3</v>
      </c>
      <c r="C55" s="23" t="str">
        <f>IF(OR(H2=8,H2=11),H2,IF(H2&lt;11,"9_10",IF(H2&lt;14,"12_13",IF(H2&lt;16,"14_15",IF(H2&lt;18,"16_17",18)))))</f>
        <v>9_10</v>
      </c>
      <c r="D55" s="50"/>
      <c r="E55" s="50"/>
      <c r="F55" s="50"/>
      <c r="G55" s="50"/>
    </row>
    <row r="56" spans="1:8" s="23" customFormat="1" hidden="1" x14ac:dyDescent="0.35">
      <c r="D56" s="50"/>
      <c r="E56" s="50"/>
      <c r="F56" s="50"/>
      <c r="G56" s="50"/>
    </row>
    <row r="57" spans="1:8" s="23" customFormat="1" hidden="1" x14ac:dyDescent="0.35">
      <c r="B57" s="23" t="s">
        <v>251</v>
      </c>
      <c r="C57" s="23" t="str">
        <f>"TBN_"&amp;C54&amp;"_"&amp;C55</f>
        <v>TBN_beide_9_10</v>
      </c>
      <c r="D57" s="50"/>
      <c r="E57" s="50"/>
      <c r="F57" s="50"/>
      <c r="G57" s="50"/>
    </row>
    <row r="58" spans="1:8" s="23" customFormat="1" hidden="1" x14ac:dyDescent="0.35">
      <c r="C58" s="23" t="str">
        <f>C57&amp;"[Beschreibung]"</f>
        <v>TBN_beide_9_10[Beschreibung]</v>
      </c>
      <c r="D58" s="50"/>
      <c r="E58" s="50"/>
      <c r="F58" s="50"/>
      <c r="G58" s="50"/>
    </row>
    <row r="59" spans="1:8" s="23" customFormat="1" hidden="1" x14ac:dyDescent="0.35">
      <c r="D59" s="50"/>
      <c r="E59" s="50"/>
      <c r="F59" s="50"/>
      <c r="G59" s="50"/>
    </row>
    <row r="60" spans="1:8" s="23" customFormat="1" hidden="1" x14ac:dyDescent="0.35">
      <c r="B60" s="23" t="s">
        <v>147</v>
      </c>
      <c r="C60" s="23" t="str">
        <f>"TN_"&amp;C54&amp;"_"&amp;C55</f>
        <v>TN_beide_9_10</v>
      </c>
      <c r="D60" s="50"/>
      <c r="E60" s="50"/>
      <c r="F60" s="50"/>
      <c r="G60" s="50"/>
    </row>
    <row r="61" spans="1:8" s="23" customFormat="1" hidden="1" x14ac:dyDescent="0.35">
      <c r="C61" s="23" t="str">
        <f>C60&amp;"[Beschreibung]"</f>
        <v>TN_beide_9_10[Beschreibung]</v>
      </c>
      <c r="D61" s="50"/>
      <c r="E61" s="50"/>
      <c r="F61" s="50"/>
      <c r="G61" s="50"/>
    </row>
    <row r="62" spans="1:8" s="23" customFormat="1" hidden="1" x14ac:dyDescent="0.35">
      <c r="D62" s="50"/>
      <c r="E62" s="50"/>
      <c r="F62" s="50"/>
      <c r="G62" s="50"/>
    </row>
    <row r="63" spans="1:8" s="23" customFormat="1" hidden="1" x14ac:dyDescent="0.35">
      <c r="B63" s="23" t="s">
        <v>17</v>
      </c>
      <c r="C63" s="23" t="str">
        <f>"TV_"&amp;F1&amp;"_"&amp;C55</f>
        <v>TV_weiblich_9_10</v>
      </c>
      <c r="D63" s="50"/>
      <c r="E63" s="50"/>
      <c r="F63" s="50"/>
      <c r="G63" s="50"/>
    </row>
    <row r="64" spans="1:8" s="23" customFormat="1" hidden="1" x14ac:dyDescent="0.35">
      <c r="D64" s="50"/>
      <c r="E64" s="50"/>
      <c r="F64" s="50"/>
      <c r="G64" s="50"/>
    </row>
    <row r="65" spans="2:7" s="23" customFormat="1" hidden="1" x14ac:dyDescent="0.35">
      <c r="B65" s="23" t="s">
        <v>252</v>
      </c>
      <c r="C65" s="23" t="str">
        <f>"BKÜ"&amp;IF(H2=9,"_9",IF(H2&lt;12,"_10_11",IF(H2&lt;14,"_12_13",IF(H2&lt;17,"_14_16","_17"))))</f>
        <v>BKÜ_10_11</v>
      </c>
      <c r="D65" s="50"/>
      <c r="E65" s="50"/>
      <c r="F65" s="50"/>
      <c r="G65" s="50"/>
    </row>
    <row r="66" spans="2:7" s="23" customFormat="1" hidden="1" x14ac:dyDescent="0.35">
      <c r="D66" s="50"/>
      <c r="E66" s="50"/>
      <c r="F66" s="50"/>
      <c r="G66" s="50"/>
    </row>
    <row r="67" spans="2:7" s="23" customFormat="1" hidden="1" x14ac:dyDescent="0.35">
      <c r="B67" s="23" t="s">
        <v>250</v>
      </c>
      <c r="C67" s="23" t="str">
        <f>IF(H2&lt;17,"beide",F1)</f>
        <v>beide</v>
      </c>
      <c r="D67" s="50"/>
      <c r="E67" s="50"/>
      <c r="F67" s="50"/>
      <c r="G67" s="50"/>
    </row>
    <row r="68" spans="2:7" s="23" customFormat="1" hidden="1" x14ac:dyDescent="0.35">
      <c r="B68" s="23" t="s">
        <v>17</v>
      </c>
      <c r="C68" s="23" t="str">
        <f>"TV_"&amp;C67&amp;"_"&amp;C55</f>
        <v>TV_beide_9_10</v>
      </c>
      <c r="D68" s="50"/>
      <c r="E68" s="50"/>
      <c r="F68" s="50"/>
      <c r="G68" s="50"/>
    </row>
    <row r="69" spans="2:7" x14ac:dyDescent="0.35"/>
    <row r="70" spans="2:7" x14ac:dyDescent="0.35"/>
  </sheetData>
  <sheetProtection selectLockedCells="1"/>
  <protectedRanges>
    <protectedRange sqref="H1:H2 F1:F2 B1:B2" name="Athletendaten"/>
    <protectedRange sqref="F38:F49 C20:F35 D69:E440 C69:C441 F4:F8 C53:E68 C38:E52 C11:E16 F11:F17" name="Werte und Varianten"/>
    <protectedRange algorithmName="SHA-512" hashValue="EtPG7jm6pk6JVG08ToKZL4Sto4PS6TOUsygvFmj6DTfcGnX6DwKdfjTEg/2X1Hwnu/CwfNhBUSnXKs/oLqcupQ==" saltValue="sPse4fdTsI5OFESYvRIl8Q==" spinCount="100000" sqref="H4:H8 H38:H49 H20:H35 H11:H17" name="Punktzahlen"/>
  </protectedRanges>
  <mergeCells count="44">
    <mergeCell ref="A16:E16"/>
    <mergeCell ref="A7:E7"/>
    <mergeCell ref="A8:E8"/>
    <mergeCell ref="A10:E10"/>
    <mergeCell ref="A11:E11"/>
    <mergeCell ref="A12:E12"/>
    <mergeCell ref="A9:G9"/>
    <mergeCell ref="A15:E15"/>
    <mergeCell ref="A13:E13"/>
    <mergeCell ref="A14:E14"/>
    <mergeCell ref="B1:E1"/>
    <mergeCell ref="A3:E3"/>
    <mergeCell ref="A4:E4"/>
    <mergeCell ref="A5:E5"/>
    <mergeCell ref="A6:E6"/>
    <mergeCell ref="B2:F2"/>
    <mergeCell ref="A51:G51"/>
    <mergeCell ref="A35:B35"/>
    <mergeCell ref="A36:G36"/>
    <mergeCell ref="A50:G50"/>
    <mergeCell ref="A23:B23"/>
    <mergeCell ref="A38:D38"/>
    <mergeCell ref="A39:D39"/>
    <mergeCell ref="A37:D37"/>
    <mergeCell ref="A43:D43"/>
    <mergeCell ref="A44:D44"/>
    <mergeCell ref="A45:D45"/>
    <mergeCell ref="A46:D46"/>
    <mergeCell ref="A33:B33"/>
    <mergeCell ref="A34:B34"/>
    <mergeCell ref="A49:D49"/>
    <mergeCell ref="A47:D47"/>
    <mergeCell ref="A19:C19"/>
    <mergeCell ref="A18:G18"/>
    <mergeCell ref="A48:D48"/>
    <mergeCell ref="A21:B21"/>
    <mergeCell ref="A22:B22"/>
    <mergeCell ref="A31:B31"/>
    <mergeCell ref="A32:B32"/>
    <mergeCell ref="A30:B30"/>
    <mergeCell ref="A40:D40"/>
    <mergeCell ref="A41:D41"/>
    <mergeCell ref="A42:D42"/>
    <mergeCell ref="A20:B20"/>
  </mergeCells>
  <conditionalFormatting sqref="F46:F49">
    <cfRule type="expression" dxfId="338" priority="6">
      <formula>$A46=" "</formula>
    </cfRule>
  </conditionalFormatting>
  <conditionalFormatting sqref="B24:B29 C21:E29">
    <cfRule type="expression" dxfId="337" priority="5">
      <formula>$A21="entfällt"</formula>
    </cfRule>
    <cfRule type="expression" dxfId="336" priority="9">
      <formula>$H$2&gt;14</formula>
    </cfRule>
  </conditionalFormatting>
  <conditionalFormatting sqref="B24:B29">
    <cfRule type="expression" dxfId="335" priority="1">
      <formula>AND($A24="TN",$C24&lt;&gt;"")</formula>
    </cfRule>
  </conditionalFormatting>
  <dataValidations xWindow="1161" yWindow="673" count="19">
    <dataValidation type="decimal" errorStyle="warning" showDropDown="1" showErrorMessage="1" error="Wert unrealistisch hoch, bitte Eingabe überprüfen" promptTitle="Vorsicht" sqref="F20" xr:uid="{00000000-0002-0000-0300-000005000000}">
      <formula1>0</formula1>
      <formula2>30</formula2>
    </dataValidation>
    <dataValidation type="list" operator="equal" allowBlank="1" showInputMessage="1" showErrorMessage="1" prompt="Punktzahl nach Vergleich mit Bild" sqref="F4" xr:uid="{00000000-0002-0000-0300-000008000000}">
      <formula1>"0,2,6,10"</formula1>
    </dataValidation>
    <dataValidation type="whole" allowBlank="1" showInputMessage="1" showErrorMessage="1" prompt="Anzahl der Wiederholungen" sqref="F14 F12" xr:uid="{00000000-0002-0000-0300-00000A000000}">
      <formula1>0</formula1>
      <formula2>50</formula2>
    </dataValidation>
    <dataValidation type="whole" allowBlank="1" showInputMessage="1" showErrorMessage="1" prompt="Haltezeit in Sekunden" sqref="F16" xr:uid="{00000000-0002-0000-0300-00000C000000}">
      <formula1>0</formula1>
      <formula2>100</formula2>
    </dataValidation>
    <dataValidation type="whole" allowBlank="1" showInputMessage="1" showErrorMessage="1" prompt="Haltezeit in Sekunden" sqref="F13" xr:uid="{00000000-0002-0000-0300-00000D000000}">
      <formula1>0</formula1>
      <formula2>200</formula2>
    </dataValidation>
    <dataValidation type="whole" allowBlank="1" showInputMessage="1" showErrorMessage="1" sqref="H4:H8" xr:uid="{00000000-0002-0000-0300-000001000000}">
      <formula1>0</formula1>
      <formula2>10</formula2>
    </dataValidation>
    <dataValidation type="list" allowBlank="1" showInputMessage="1" showErrorMessage="1" sqref="F1" xr:uid="{A90B3958-7C09-4B54-B3E1-0C40C0E27319}">
      <formula1>"männlich,weiblich"</formula1>
    </dataValidation>
    <dataValidation type="whole" allowBlank="1" showInputMessage="1" showErrorMessage="1" prompt="AKs 9 - 13: Übersprungene Kästchen_x000a__x000a_AKs 14 - 21: Anzahl Saltos" sqref="F15" xr:uid="{4AFB6212-EA76-46C7-A904-8E7698D0DCD9}">
      <formula1>0</formula1>
      <formula2>50</formula2>
    </dataValidation>
    <dataValidation type="decimal" errorStyle="warning" allowBlank="1" showInputMessage="1" showErrorMessage="1" error="Abzug höher als Wert des Elements, bitte überprüfen!" prompt="Abzug" sqref="F38:F49" xr:uid="{8A3DE821-D083-4CF8-BE66-2ACB94A8ABFB}">
      <formula1>0</formula1>
      <formula2>$E38</formula2>
    </dataValidation>
    <dataValidation allowBlank="1" sqref="D20:E20" xr:uid="{AB47411E-03F6-4A7D-BE95-08923B6378B2}"/>
    <dataValidation type="whole" allowBlank="1" showErrorMessage="1" errorTitle="Falsche Eingabe" error="Bitte Wert prüfen" prompt="Höchste erreichte Stufe" sqref="F17" xr:uid="{DCC0EC4D-BD02-4537-B82D-0D49A4A0E9A4}">
      <formula1>1</formula1>
      <formula2>11</formula2>
    </dataValidation>
    <dataValidation type="list" allowBlank="1" showInputMessage="1" showErrorMessage="1" prompt="Punktzahl nach Vergleich mit Bild" sqref="F5" xr:uid="{7DC2CBA0-C588-41C7-AB9A-B9814EA26400}">
      <formula1>"0,2,6,10"</formula1>
    </dataValidation>
    <dataValidation type="whole" allowBlank="1" showInputMessage="1" showErrorMessage="1" prompt="Abstand von der Oberkante des Turnhockers zur schlechtesten Fingerspitze in cm" sqref="F6" xr:uid="{5BAF6DD5-036F-4144-8231-D031C891A49F}">
      <formula1>-50</formula1>
      <formula2>50</formula2>
    </dataValidation>
    <dataValidation allowBlank="1" showInputMessage="1" showErrorMessage="1" prompt="Anzahl der Wiederholungen" sqref="F11" xr:uid="{C61028F5-D3EA-4225-B9C8-B5F73776A466}"/>
    <dataValidation type="list" allowBlank="1" showInputMessage="1" sqref="C21:C23" xr:uid="{741E526F-95EF-40B1-A44D-AC82ADC07950}">
      <formula1>INDIRECT($C$58)</formula1>
    </dataValidation>
    <dataValidation type="list" allowBlank="1" showInputMessage="1" sqref="C24:C29" xr:uid="{2E96861D-13D0-47A7-A483-F53415A9CC39}">
      <formula1>INDIRECT($C$61)</formula1>
    </dataValidation>
    <dataValidation type="whole" allowBlank="1" showInputMessage="1" showErrorMessage="1" errorTitle="Falsche Eingabe" error="Bitte Wert prüfen" sqref="D17" xr:uid="{56578365-DFE9-4553-AFAC-8387BA0A2105}">
      <formula1>1</formula1>
      <formula2>13</formula2>
    </dataValidation>
    <dataValidation type="list" allowBlank="1" showInputMessage="1" showErrorMessage="1" sqref="C20" xr:uid="{12C41915-ABBB-450B-AFE9-73AB031615FF}">
      <formula1>"Lichtschranke,Druckmessplatte"</formula1>
    </dataValidation>
    <dataValidation type="decimal" errorStyle="warning" allowBlank="1" showInputMessage="1" showErrorMessage="1" error="Eingegebener Abzug überschreitet maximal zulässigen Abzug, Wert bitte überprüfen!" sqref="F21:F35" xr:uid="{3D0D8C6E-9D2E-421A-8C7B-A8D4C41ADBA3}">
      <formula1>0</formula1>
      <formula2>$E21</formula2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xWindow="1161" yWindow="673" count="1">
        <x14:dataValidation type="list" errorStyle="warning" allowBlank="1" showInputMessage="1" showErrorMessage="1" error="Bitte Werte aus Dropdown auswählen" prompt="Abstand vom Boden laut Schablone" xr:uid="{46832AA1-B481-420C-8322-9B3A28EC6AD3}">
          <x14:formula1>
            <xm:f>Punktetabellen!$A$3:$A$6</xm:f>
          </x14:formula1>
          <xm:sqref>F7:F8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tabColor rgb="FF7030A0"/>
  </sheetPr>
  <dimension ref="A1:Q132"/>
  <sheetViews>
    <sheetView topLeftCell="A62" zoomScale="85" zoomScaleNormal="85" workbookViewId="0">
      <selection activeCell="F132" sqref="F132"/>
    </sheetView>
  </sheetViews>
  <sheetFormatPr baseColWidth="10" defaultRowHeight="14.5" x14ac:dyDescent="0.35"/>
  <cols>
    <col min="1" max="1" width="48.453125" bestFit="1" customWidth="1"/>
    <col min="2" max="2" width="9.54296875" bestFit="1" customWidth="1"/>
    <col min="3" max="3" width="9.54296875" customWidth="1"/>
    <col min="4" max="4" width="5.7265625" customWidth="1"/>
    <col min="5" max="5" width="46.7265625" bestFit="1" customWidth="1"/>
    <col min="6" max="6" width="9.54296875" bestFit="1" customWidth="1"/>
    <col min="7" max="8" width="7.54296875" customWidth="1"/>
    <col min="9" max="9" width="5.7265625" customWidth="1"/>
    <col min="10" max="10" width="19.1796875" bestFit="1" customWidth="1"/>
    <col min="11" max="11" width="32.453125" bestFit="1" customWidth="1"/>
    <col min="12" max="12" width="8" bestFit="1" customWidth="1"/>
    <col min="13" max="13" width="12.26953125" customWidth="1"/>
    <col min="14" max="14" width="5.7265625" customWidth="1"/>
    <col min="15" max="15" width="10.7265625" bestFit="1" customWidth="1"/>
    <col min="16" max="16" width="56.453125" bestFit="1" customWidth="1"/>
    <col min="17" max="17" width="8" bestFit="1" customWidth="1"/>
  </cols>
  <sheetData>
    <row r="1" spans="1:17" ht="15" customHeight="1" x14ac:dyDescent="0.35">
      <c r="A1" s="212" t="s">
        <v>313</v>
      </c>
      <c r="B1" s="212"/>
      <c r="C1" s="212"/>
      <c r="E1" s="212" t="s">
        <v>320</v>
      </c>
      <c r="F1" s="212"/>
      <c r="G1" s="212"/>
      <c r="H1" s="212"/>
      <c r="J1" s="212" t="s">
        <v>331</v>
      </c>
      <c r="K1" s="212"/>
      <c r="L1" s="212"/>
      <c r="M1" s="212"/>
      <c r="O1" s="212" t="s">
        <v>240</v>
      </c>
      <c r="P1" s="212"/>
      <c r="Q1" s="212"/>
    </row>
    <row r="2" spans="1:17" x14ac:dyDescent="0.35">
      <c r="A2" t="s">
        <v>100</v>
      </c>
      <c r="B2" t="s">
        <v>27</v>
      </c>
      <c r="C2" t="s">
        <v>239</v>
      </c>
      <c r="E2" t="s">
        <v>100</v>
      </c>
      <c r="F2" t="s">
        <v>159</v>
      </c>
      <c r="G2" t="s">
        <v>27</v>
      </c>
      <c r="H2" t="s">
        <v>239</v>
      </c>
      <c r="J2" s="75" t="s">
        <v>99</v>
      </c>
      <c r="K2" s="75" t="s">
        <v>26</v>
      </c>
      <c r="L2" s="75" t="s">
        <v>27</v>
      </c>
      <c r="M2" s="75" t="s">
        <v>239</v>
      </c>
      <c r="O2" t="s">
        <v>99</v>
      </c>
      <c r="P2" t="s">
        <v>100</v>
      </c>
      <c r="Q2" t="s">
        <v>27</v>
      </c>
    </row>
    <row r="3" spans="1:17" x14ac:dyDescent="0.35">
      <c r="A3" t="s">
        <v>151</v>
      </c>
      <c r="B3">
        <v>3</v>
      </c>
      <c r="C3" s="30">
        <v>1</v>
      </c>
      <c r="E3" t="s">
        <v>199</v>
      </c>
      <c r="F3" t="s">
        <v>199</v>
      </c>
      <c r="G3">
        <v>5</v>
      </c>
      <c r="H3">
        <v>4</v>
      </c>
      <c r="J3" s="73">
        <v>1</v>
      </c>
      <c r="K3" s="73" t="s">
        <v>245</v>
      </c>
      <c r="L3" s="73">
        <v>5</v>
      </c>
      <c r="M3" s="73">
        <v>3</v>
      </c>
      <c r="O3">
        <v>1</v>
      </c>
      <c r="P3" t="s">
        <v>76</v>
      </c>
      <c r="Q3">
        <v>3</v>
      </c>
    </row>
    <row r="4" spans="1:17" x14ac:dyDescent="0.35">
      <c r="A4" t="s">
        <v>150</v>
      </c>
      <c r="B4">
        <v>4</v>
      </c>
      <c r="C4" s="30">
        <v>2</v>
      </c>
      <c r="E4" t="s">
        <v>200</v>
      </c>
      <c r="F4" t="s">
        <v>200</v>
      </c>
      <c r="G4">
        <v>6</v>
      </c>
      <c r="H4">
        <v>4</v>
      </c>
      <c r="J4" s="74">
        <v>2</v>
      </c>
      <c r="K4" s="74" t="s">
        <v>253</v>
      </c>
      <c r="L4" s="74">
        <v>6</v>
      </c>
      <c r="M4" s="74">
        <v>3</v>
      </c>
      <c r="O4">
        <v>2</v>
      </c>
      <c r="P4" t="s">
        <v>101</v>
      </c>
      <c r="Q4">
        <v>1.5</v>
      </c>
    </row>
    <row r="5" spans="1:17" x14ac:dyDescent="0.35">
      <c r="A5" t="s">
        <v>152</v>
      </c>
      <c r="B5">
        <v>3</v>
      </c>
      <c r="C5" s="30">
        <v>1</v>
      </c>
      <c r="E5" t="s">
        <v>201</v>
      </c>
      <c r="F5" t="s">
        <v>201</v>
      </c>
      <c r="G5">
        <v>5</v>
      </c>
      <c r="H5">
        <v>4</v>
      </c>
      <c r="J5" s="73">
        <v>3</v>
      </c>
      <c r="K5" s="73" t="s">
        <v>246</v>
      </c>
      <c r="L5" s="73">
        <v>6</v>
      </c>
      <c r="M5" s="73">
        <v>3</v>
      </c>
      <c r="O5">
        <v>3</v>
      </c>
      <c r="P5" t="s">
        <v>102</v>
      </c>
      <c r="Q5">
        <v>3</v>
      </c>
    </row>
    <row r="6" spans="1:17" x14ac:dyDescent="0.35">
      <c r="A6" t="s">
        <v>153</v>
      </c>
      <c r="B6">
        <v>3</v>
      </c>
      <c r="C6" s="30">
        <v>1</v>
      </c>
      <c r="E6" t="s">
        <v>202</v>
      </c>
      <c r="F6" t="s">
        <v>202</v>
      </c>
      <c r="G6">
        <v>5</v>
      </c>
      <c r="H6">
        <v>4</v>
      </c>
      <c r="J6" s="74">
        <v>4</v>
      </c>
      <c r="K6" s="74" t="s">
        <v>247</v>
      </c>
      <c r="L6" s="74">
        <v>6</v>
      </c>
      <c r="M6" s="74">
        <v>3</v>
      </c>
      <c r="O6">
        <v>4</v>
      </c>
      <c r="P6" t="s">
        <v>103</v>
      </c>
      <c r="Q6">
        <v>1.5</v>
      </c>
    </row>
    <row r="7" spans="1:17" x14ac:dyDescent="0.35">
      <c r="A7" t="s">
        <v>154</v>
      </c>
      <c r="B7">
        <v>4</v>
      </c>
      <c r="C7" s="30">
        <v>2</v>
      </c>
      <c r="E7" t="s">
        <v>203</v>
      </c>
      <c r="F7" t="s">
        <v>203</v>
      </c>
      <c r="G7">
        <v>6</v>
      </c>
      <c r="H7">
        <v>4</v>
      </c>
      <c r="J7" s="73">
        <v>5</v>
      </c>
      <c r="K7" s="73" t="s">
        <v>49</v>
      </c>
      <c r="L7" s="73">
        <v>6</v>
      </c>
      <c r="M7" s="73">
        <v>3</v>
      </c>
      <c r="O7">
        <v>5</v>
      </c>
      <c r="P7" t="s">
        <v>104</v>
      </c>
      <c r="Q7">
        <v>4.5</v>
      </c>
    </row>
    <row r="8" spans="1:17" x14ac:dyDescent="0.35">
      <c r="A8" t="s">
        <v>155</v>
      </c>
      <c r="B8">
        <v>4</v>
      </c>
      <c r="C8" s="30">
        <v>2</v>
      </c>
      <c r="E8" t="s">
        <v>204</v>
      </c>
      <c r="F8" t="s">
        <v>204</v>
      </c>
      <c r="G8">
        <v>4</v>
      </c>
      <c r="H8">
        <v>2</v>
      </c>
      <c r="J8" s="76">
        <v>6</v>
      </c>
      <c r="K8" s="76" t="s">
        <v>248</v>
      </c>
      <c r="L8" s="76">
        <v>2</v>
      </c>
      <c r="M8" s="76">
        <v>3</v>
      </c>
      <c r="O8">
        <v>6</v>
      </c>
      <c r="P8" t="s">
        <v>105</v>
      </c>
      <c r="Q8">
        <v>1.5</v>
      </c>
    </row>
    <row r="9" spans="1:17" x14ac:dyDescent="0.35">
      <c r="A9" t="s">
        <v>156</v>
      </c>
      <c r="B9">
        <v>4</v>
      </c>
      <c r="C9" s="30">
        <v>2</v>
      </c>
      <c r="O9">
        <v>7</v>
      </c>
      <c r="P9" t="s">
        <v>106</v>
      </c>
      <c r="Q9">
        <v>1.5</v>
      </c>
    </row>
    <row r="10" spans="1:17" x14ac:dyDescent="0.35">
      <c r="A10" t="s">
        <v>157</v>
      </c>
      <c r="B10">
        <v>3</v>
      </c>
      <c r="C10" s="30">
        <v>1</v>
      </c>
      <c r="E10" s="212" t="s">
        <v>321</v>
      </c>
      <c r="F10" s="212"/>
      <c r="G10" s="212"/>
      <c r="H10" s="212"/>
      <c r="J10" s="212" t="s">
        <v>332</v>
      </c>
      <c r="K10" s="212"/>
      <c r="L10" s="212"/>
      <c r="M10" s="212"/>
      <c r="O10">
        <v>8</v>
      </c>
      <c r="P10" t="s">
        <v>78</v>
      </c>
      <c r="Q10">
        <v>3</v>
      </c>
    </row>
    <row r="11" spans="1:17" x14ac:dyDescent="0.35">
      <c r="A11" t="s">
        <v>158</v>
      </c>
      <c r="B11">
        <v>4</v>
      </c>
      <c r="C11" s="30">
        <v>2</v>
      </c>
      <c r="E11" t="s">
        <v>100</v>
      </c>
      <c r="F11" t="s">
        <v>159</v>
      </c>
      <c r="G11" t="s">
        <v>27</v>
      </c>
      <c r="H11" t="s">
        <v>239</v>
      </c>
      <c r="J11" s="75" t="s">
        <v>99</v>
      </c>
      <c r="K11" s="75" t="s">
        <v>26</v>
      </c>
      <c r="L11" s="75" t="s">
        <v>27</v>
      </c>
      <c r="M11" s="75" t="s">
        <v>239</v>
      </c>
      <c r="O11">
        <v>9</v>
      </c>
      <c r="P11" t="s">
        <v>107</v>
      </c>
      <c r="Q11">
        <v>1.5</v>
      </c>
    </row>
    <row r="12" spans="1:17" x14ac:dyDescent="0.35">
      <c r="E12" t="s">
        <v>45</v>
      </c>
      <c r="F12" t="s">
        <v>45</v>
      </c>
      <c r="G12">
        <v>6</v>
      </c>
      <c r="H12">
        <v>4</v>
      </c>
      <c r="J12" s="73">
        <v>1</v>
      </c>
      <c r="K12" s="73" t="s">
        <v>49</v>
      </c>
      <c r="L12" s="73">
        <v>6</v>
      </c>
      <c r="M12" s="73">
        <v>3</v>
      </c>
      <c r="O12">
        <v>10</v>
      </c>
      <c r="P12" t="s">
        <v>114</v>
      </c>
      <c r="Q12">
        <v>2.5</v>
      </c>
    </row>
    <row r="13" spans="1:17" x14ac:dyDescent="0.35">
      <c r="A13" s="212" t="s">
        <v>314</v>
      </c>
      <c r="B13" s="212"/>
      <c r="C13" s="212"/>
      <c r="E13" t="s">
        <v>46</v>
      </c>
      <c r="F13" t="s">
        <v>46</v>
      </c>
      <c r="G13">
        <v>6</v>
      </c>
      <c r="H13">
        <v>4</v>
      </c>
      <c r="J13" s="74">
        <v>2</v>
      </c>
      <c r="K13" s="74" t="s">
        <v>50</v>
      </c>
      <c r="L13" s="74">
        <v>6</v>
      </c>
      <c r="M13" s="74">
        <v>3</v>
      </c>
      <c r="O13">
        <v>11</v>
      </c>
      <c r="P13" t="s">
        <v>77</v>
      </c>
      <c r="Q13">
        <v>3</v>
      </c>
    </row>
    <row r="14" spans="1:17" x14ac:dyDescent="0.35">
      <c r="A14" t="s">
        <v>100</v>
      </c>
      <c r="B14" t="s">
        <v>27</v>
      </c>
      <c r="C14" t="s">
        <v>239</v>
      </c>
      <c r="E14" t="s">
        <v>205</v>
      </c>
      <c r="F14" t="s">
        <v>205</v>
      </c>
      <c r="G14">
        <v>3</v>
      </c>
      <c r="H14">
        <v>1</v>
      </c>
      <c r="J14" s="73">
        <v>3</v>
      </c>
      <c r="K14" s="73" t="s">
        <v>51</v>
      </c>
      <c r="L14" s="73">
        <v>7</v>
      </c>
      <c r="M14" s="73">
        <v>3</v>
      </c>
      <c r="O14">
        <v>12</v>
      </c>
      <c r="P14" t="s">
        <v>108</v>
      </c>
      <c r="Q14">
        <v>3.5</v>
      </c>
    </row>
    <row r="15" spans="1:17" x14ac:dyDescent="0.35">
      <c r="A15" t="s">
        <v>160</v>
      </c>
      <c r="B15">
        <v>3</v>
      </c>
      <c r="C15" s="30">
        <v>1</v>
      </c>
      <c r="E15" t="s">
        <v>206</v>
      </c>
      <c r="F15" t="s">
        <v>206</v>
      </c>
      <c r="G15">
        <v>3</v>
      </c>
      <c r="H15">
        <v>1</v>
      </c>
      <c r="J15" s="74">
        <v>4</v>
      </c>
      <c r="K15" s="74" t="s">
        <v>245</v>
      </c>
      <c r="L15" s="74">
        <v>5</v>
      </c>
      <c r="M15" s="74">
        <v>3</v>
      </c>
    </row>
    <row r="16" spans="1:17" x14ac:dyDescent="0.35">
      <c r="A16" t="s">
        <v>161</v>
      </c>
      <c r="B16">
        <v>4</v>
      </c>
      <c r="C16" s="30">
        <v>2</v>
      </c>
      <c r="E16" t="s">
        <v>207</v>
      </c>
      <c r="F16" t="s">
        <v>207</v>
      </c>
      <c r="G16">
        <v>6</v>
      </c>
      <c r="H16">
        <v>4</v>
      </c>
      <c r="J16" s="73">
        <v>5</v>
      </c>
      <c r="K16" s="73" t="s">
        <v>253</v>
      </c>
      <c r="L16" s="73">
        <v>6</v>
      </c>
      <c r="M16" s="73">
        <v>3</v>
      </c>
    </row>
    <row r="17" spans="1:17" x14ac:dyDescent="0.35">
      <c r="A17" t="s">
        <v>162</v>
      </c>
      <c r="B17">
        <v>3</v>
      </c>
      <c r="C17" s="30">
        <v>1</v>
      </c>
      <c r="E17" t="s">
        <v>208</v>
      </c>
      <c r="F17" t="s">
        <v>208</v>
      </c>
      <c r="G17">
        <v>3</v>
      </c>
      <c r="H17">
        <v>1</v>
      </c>
      <c r="J17" s="76">
        <v>6</v>
      </c>
      <c r="K17" s="76" t="s">
        <v>54</v>
      </c>
      <c r="L17" s="76">
        <v>10</v>
      </c>
      <c r="M17" s="76">
        <v>3</v>
      </c>
      <c r="O17" s="212" t="s">
        <v>241</v>
      </c>
      <c r="P17" s="212" t="s">
        <v>91</v>
      </c>
      <c r="Q17" s="212"/>
    </row>
    <row r="18" spans="1:17" x14ac:dyDescent="0.35">
      <c r="A18" t="s">
        <v>163</v>
      </c>
      <c r="B18">
        <v>4</v>
      </c>
      <c r="C18" s="30">
        <v>2</v>
      </c>
      <c r="E18" t="s">
        <v>49</v>
      </c>
      <c r="F18" t="s">
        <v>49</v>
      </c>
      <c r="G18">
        <v>6</v>
      </c>
      <c r="H18">
        <v>4</v>
      </c>
      <c r="O18" t="s">
        <v>99</v>
      </c>
      <c r="P18" t="s">
        <v>100</v>
      </c>
      <c r="Q18" t="s">
        <v>27</v>
      </c>
    </row>
    <row r="19" spans="1:17" x14ac:dyDescent="0.35">
      <c r="A19" t="s">
        <v>164</v>
      </c>
      <c r="B19">
        <v>3</v>
      </c>
      <c r="C19" s="30">
        <v>1</v>
      </c>
      <c r="J19" s="212" t="s">
        <v>333</v>
      </c>
      <c r="K19" s="212"/>
      <c r="L19" s="212"/>
      <c r="M19" s="212"/>
      <c r="O19">
        <v>1</v>
      </c>
      <c r="P19" t="s">
        <v>109</v>
      </c>
      <c r="Q19">
        <v>3</v>
      </c>
    </row>
    <row r="20" spans="1:17" x14ac:dyDescent="0.35">
      <c r="A20" t="s">
        <v>165</v>
      </c>
      <c r="B20">
        <v>4</v>
      </c>
      <c r="C20" s="30">
        <v>2</v>
      </c>
      <c r="E20" s="212" t="s">
        <v>322</v>
      </c>
      <c r="F20" s="212"/>
      <c r="G20" s="212"/>
      <c r="H20" s="212"/>
      <c r="J20" s="75" t="s">
        <v>99</v>
      </c>
      <c r="K20" s="75" t="s">
        <v>26</v>
      </c>
      <c r="L20" s="75" t="s">
        <v>27</v>
      </c>
      <c r="M20" s="75" t="s">
        <v>239</v>
      </c>
      <c r="O20">
        <v>2</v>
      </c>
      <c r="P20" t="s">
        <v>110</v>
      </c>
      <c r="Q20">
        <v>3</v>
      </c>
    </row>
    <row r="21" spans="1:17" x14ac:dyDescent="0.35">
      <c r="A21" t="s">
        <v>166</v>
      </c>
      <c r="B21">
        <v>5</v>
      </c>
      <c r="C21" s="30">
        <v>4</v>
      </c>
      <c r="E21" t="s">
        <v>100</v>
      </c>
      <c r="F21" t="s">
        <v>159</v>
      </c>
      <c r="G21" t="s">
        <v>27</v>
      </c>
      <c r="H21" t="s">
        <v>239</v>
      </c>
      <c r="J21" s="73">
        <v>1</v>
      </c>
      <c r="K21" s="73" t="s">
        <v>58</v>
      </c>
      <c r="L21" s="73">
        <v>13</v>
      </c>
      <c r="M21" s="73">
        <v>3</v>
      </c>
      <c r="O21">
        <v>3</v>
      </c>
      <c r="P21" t="s">
        <v>113</v>
      </c>
      <c r="Q21">
        <v>3</v>
      </c>
    </row>
    <row r="22" spans="1:17" x14ac:dyDescent="0.35">
      <c r="A22" t="s">
        <v>175</v>
      </c>
      <c r="B22">
        <v>4</v>
      </c>
      <c r="C22" s="30">
        <v>2</v>
      </c>
      <c r="E22" t="s">
        <v>50</v>
      </c>
      <c r="F22" t="s">
        <v>50</v>
      </c>
      <c r="G22">
        <v>6</v>
      </c>
      <c r="H22">
        <v>4</v>
      </c>
      <c r="J22" s="74">
        <v>2</v>
      </c>
      <c r="K22" s="74" t="s">
        <v>246</v>
      </c>
      <c r="L22" s="74">
        <v>6</v>
      </c>
      <c r="M22" s="74">
        <v>3</v>
      </c>
      <c r="O22">
        <v>4</v>
      </c>
      <c r="P22" t="s">
        <v>111</v>
      </c>
      <c r="Q22">
        <v>2</v>
      </c>
    </row>
    <row r="23" spans="1:17" x14ac:dyDescent="0.35">
      <c r="A23" t="s">
        <v>176</v>
      </c>
      <c r="B23">
        <v>4</v>
      </c>
      <c r="C23" s="30">
        <v>2</v>
      </c>
      <c r="E23" t="s">
        <v>45</v>
      </c>
      <c r="F23" t="s">
        <v>45</v>
      </c>
      <c r="G23">
        <v>7</v>
      </c>
      <c r="H23">
        <v>6</v>
      </c>
      <c r="J23" s="73">
        <v>3</v>
      </c>
      <c r="K23" s="73" t="s">
        <v>57</v>
      </c>
      <c r="L23" s="73">
        <v>11</v>
      </c>
      <c r="M23" s="73">
        <v>3</v>
      </c>
      <c r="O23">
        <v>5</v>
      </c>
      <c r="P23" t="s">
        <v>112</v>
      </c>
      <c r="Q23">
        <v>4</v>
      </c>
    </row>
    <row r="24" spans="1:17" x14ac:dyDescent="0.35">
      <c r="E24" t="s">
        <v>46</v>
      </c>
      <c r="F24" t="s">
        <v>46</v>
      </c>
      <c r="G24">
        <v>7</v>
      </c>
      <c r="H24">
        <v>6</v>
      </c>
      <c r="J24" s="74">
        <v>4</v>
      </c>
      <c r="K24" s="74" t="s">
        <v>49</v>
      </c>
      <c r="L24" s="74">
        <v>6</v>
      </c>
      <c r="M24" s="74">
        <v>3</v>
      </c>
      <c r="O24">
        <v>6</v>
      </c>
      <c r="P24" t="s">
        <v>255</v>
      </c>
      <c r="Q24">
        <v>3</v>
      </c>
    </row>
    <row r="25" spans="1:17" x14ac:dyDescent="0.35">
      <c r="A25" s="212" t="s">
        <v>315</v>
      </c>
      <c r="B25" s="212"/>
      <c r="C25" s="212"/>
      <c r="E25" t="s">
        <v>47</v>
      </c>
      <c r="F25" t="s">
        <v>47</v>
      </c>
      <c r="G25">
        <v>7</v>
      </c>
      <c r="H25">
        <v>6</v>
      </c>
      <c r="J25" s="73">
        <v>5</v>
      </c>
      <c r="K25" s="73" t="s">
        <v>50</v>
      </c>
      <c r="L25" s="73">
        <v>6</v>
      </c>
      <c r="M25" s="73">
        <v>3</v>
      </c>
      <c r="O25">
        <v>7</v>
      </c>
      <c r="P25" t="s">
        <v>115</v>
      </c>
      <c r="Q25">
        <v>2</v>
      </c>
    </row>
    <row r="26" spans="1:17" x14ac:dyDescent="0.35">
      <c r="A26" t="s">
        <v>100</v>
      </c>
      <c r="B26" t="s">
        <v>27</v>
      </c>
      <c r="C26" t="s">
        <v>239</v>
      </c>
      <c r="E26" t="s">
        <v>209</v>
      </c>
      <c r="F26" t="s">
        <v>209</v>
      </c>
      <c r="G26">
        <v>3</v>
      </c>
      <c r="H26">
        <v>1</v>
      </c>
      <c r="J26" s="76">
        <v>6</v>
      </c>
      <c r="K26" s="76" t="s">
        <v>54</v>
      </c>
      <c r="L26" s="76">
        <v>10</v>
      </c>
      <c r="M26" s="76">
        <v>3</v>
      </c>
      <c r="O26">
        <v>8</v>
      </c>
      <c r="P26" t="s">
        <v>116</v>
      </c>
      <c r="Q26">
        <v>2</v>
      </c>
    </row>
    <row r="27" spans="1:17" x14ac:dyDescent="0.35">
      <c r="A27" t="s">
        <v>167</v>
      </c>
      <c r="B27">
        <v>3</v>
      </c>
      <c r="C27" s="30">
        <v>1</v>
      </c>
      <c r="E27" t="s">
        <v>43</v>
      </c>
      <c r="F27" t="s">
        <v>43</v>
      </c>
      <c r="G27">
        <v>6</v>
      </c>
      <c r="H27">
        <v>4</v>
      </c>
      <c r="O27">
        <v>9</v>
      </c>
      <c r="P27" t="s">
        <v>117</v>
      </c>
      <c r="Q27">
        <v>4</v>
      </c>
    </row>
    <row r="28" spans="1:17" x14ac:dyDescent="0.35">
      <c r="A28" t="s">
        <v>168</v>
      </c>
      <c r="B28">
        <v>3</v>
      </c>
      <c r="C28" s="30">
        <v>1</v>
      </c>
      <c r="E28" t="s">
        <v>44</v>
      </c>
      <c r="F28" t="s">
        <v>44</v>
      </c>
      <c r="G28">
        <v>7</v>
      </c>
      <c r="H28">
        <v>6</v>
      </c>
      <c r="J28" s="212" t="s">
        <v>334</v>
      </c>
      <c r="K28" s="212"/>
      <c r="L28" s="212"/>
      <c r="M28" s="212"/>
      <c r="O28">
        <v>10</v>
      </c>
      <c r="P28" t="s">
        <v>108</v>
      </c>
      <c r="Q28">
        <v>2</v>
      </c>
    </row>
    <row r="29" spans="1:17" x14ac:dyDescent="0.35">
      <c r="A29" t="s">
        <v>169</v>
      </c>
      <c r="B29">
        <v>4</v>
      </c>
      <c r="C29" s="30">
        <v>2</v>
      </c>
      <c r="E29" t="s">
        <v>210</v>
      </c>
      <c r="F29" t="s">
        <v>210</v>
      </c>
      <c r="G29">
        <v>8</v>
      </c>
      <c r="H29">
        <v>6</v>
      </c>
      <c r="J29" t="s">
        <v>99</v>
      </c>
      <c r="K29" t="s">
        <v>26</v>
      </c>
      <c r="L29" t="s">
        <v>27</v>
      </c>
      <c r="M29" t="s">
        <v>239</v>
      </c>
      <c r="O29">
        <v>11</v>
      </c>
      <c r="P29" t="s">
        <v>118</v>
      </c>
      <c r="Q29">
        <v>2</v>
      </c>
    </row>
    <row r="30" spans="1:17" x14ac:dyDescent="0.35">
      <c r="A30" t="s">
        <v>170</v>
      </c>
      <c r="B30">
        <v>3</v>
      </c>
      <c r="C30" s="30">
        <v>1</v>
      </c>
      <c r="E30" t="s">
        <v>211</v>
      </c>
      <c r="F30" t="s">
        <v>211</v>
      </c>
      <c r="G30">
        <v>9</v>
      </c>
      <c r="H30">
        <v>6</v>
      </c>
      <c r="J30">
        <v>1</v>
      </c>
      <c r="K30" t="s">
        <v>62</v>
      </c>
      <c r="L30">
        <v>15</v>
      </c>
      <c r="M30">
        <v>3</v>
      </c>
      <c r="O30">
        <v>12</v>
      </c>
      <c r="P30" t="s">
        <v>145</v>
      </c>
      <c r="Q30" t="s">
        <v>145</v>
      </c>
    </row>
    <row r="31" spans="1:17" x14ac:dyDescent="0.35">
      <c r="A31" t="s">
        <v>171</v>
      </c>
      <c r="B31">
        <v>6</v>
      </c>
      <c r="C31" s="30">
        <v>4</v>
      </c>
      <c r="E31" t="s">
        <v>51</v>
      </c>
      <c r="F31" t="s">
        <v>51</v>
      </c>
      <c r="G31">
        <v>7</v>
      </c>
      <c r="H31">
        <v>6</v>
      </c>
      <c r="J31">
        <v>2</v>
      </c>
      <c r="K31" t="s">
        <v>246</v>
      </c>
      <c r="L31">
        <v>6</v>
      </c>
      <c r="M31">
        <v>3</v>
      </c>
    </row>
    <row r="32" spans="1:17" x14ac:dyDescent="0.35">
      <c r="A32" t="s">
        <v>172</v>
      </c>
      <c r="B32">
        <v>6</v>
      </c>
      <c r="C32" s="30">
        <v>4</v>
      </c>
      <c r="E32" t="s">
        <v>54</v>
      </c>
      <c r="F32" t="s">
        <v>54</v>
      </c>
      <c r="G32">
        <v>10</v>
      </c>
      <c r="H32">
        <v>6</v>
      </c>
      <c r="J32">
        <v>3</v>
      </c>
      <c r="K32" t="s">
        <v>58</v>
      </c>
      <c r="L32">
        <v>13</v>
      </c>
      <c r="M32">
        <v>3</v>
      </c>
    </row>
    <row r="33" spans="1:17" x14ac:dyDescent="0.35">
      <c r="A33" t="s">
        <v>173</v>
      </c>
      <c r="B33">
        <v>6</v>
      </c>
      <c r="C33" s="30">
        <v>4</v>
      </c>
      <c r="J33">
        <v>4</v>
      </c>
      <c r="K33" t="s">
        <v>49</v>
      </c>
      <c r="L33">
        <v>6</v>
      </c>
      <c r="M33">
        <v>3</v>
      </c>
      <c r="O33" s="212" t="s">
        <v>242</v>
      </c>
      <c r="P33" s="212" t="s">
        <v>92</v>
      </c>
      <c r="Q33" s="212"/>
    </row>
    <row r="34" spans="1:17" x14ac:dyDescent="0.35">
      <c r="A34" t="s">
        <v>174</v>
      </c>
      <c r="B34">
        <v>5</v>
      </c>
      <c r="C34" s="30">
        <v>4</v>
      </c>
      <c r="E34" s="212" t="s">
        <v>323</v>
      </c>
      <c r="F34" s="212"/>
      <c r="G34" s="212"/>
      <c r="H34" s="212"/>
      <c r="J34">
        <v>5</v>
      </c>
      <c r="K34" t="s">
        <v>50</v>
      </c>
      <c r="L34">
        <v>6</v>
      </c>
      <c r="M34">
        <v>3</v>
      </c>
      <c r="O34" t="s">
        <v>99</v>
      </c>
      <c r="P34" t="s">
        <v>100</v>
      </c>
      <c r="Q34" t="s">
        <v>27</v>
      </c>
    </row>
    <row r="35" spans="1:17" x14ac:dyDescent="0.35">
      <c r="A35" t="s">
        <v>177</v>
      </c>
      <c r="B35">
        <v>5</v>
      </c>
      <c r="C35" s="30">
        <v>4</v>
      </c>
      <c r="E35" t="s">
        <v>100</v>
      </c>
      <c r="F35" t="s">
        <v>159</v>
      </c>
      <c r="G35" t="s">
        <v>27</v>
      </c>
      <c r="H35" t="s">
        <v>239</v>
      </c>
      <c r="J35">
        <v>6</v>
      </c>
      <c r="K35" t="s">
        <v>59</v>
      </c>
      <c r="L35">
        <v>12</v>
      </c>
      <c r="M35">
        <v>3</v>
      </c>
      <c r="O35">
        <v>1</v>
      </c>
      <c r="P35" t="s">
        <v>119</v>
      </c>
      <c r="Q35">
        <v>3</v>
      </c>
    </row>
    <row r="36" spans="1:17" x14ac:dyDescent="0.35">
      <c r="A36" t="s">
        <v>420</v>
      </c>
      <c r="B36">
        <v>7</v>
      </c>
      <c r="C36" s="30">
        <v>6</v>
      </c>
      <c r="E36" t="s">
        <v>52</v>
      </c>
      <c r="F36" t="s">
        <v>52</v>
      </c>
      <c r="G36">
        <v>8</v>
      </c>
      <c r="H36">
        <v>6</v>
      </c>
      <c r="O36">
        <v>2</v>
      </c>
      <c r="P36" t="s">
        <v>120</v>
      </c>
      <c r="Q36">
        <v>3</v>
      </c>
    </row>
    <row r="37" spans="1:17" x14ac:dyDescent="0.35">
      <c r="A37" t="s">
        <v>421</v>
      </c>
      <c r="B37">
        <v>5</v>
      </c>
      <c r="C37" s="30">
        <v>4</v>
      </c>
      <c r="E37" t="s">
        <v>48</v>
      </c>
      <c r="F37" t="s">
        <v>48</v>
      </c>
      <c r="G37">
        <v>9</v>
      </c>
      <c r="H37">
        <v>6</v>
      </c>
      <c r="J37" s="212" t="s">
        <v>335</v>
      </c>
      <c r="K37" s="212"/>
      <c r="L37" s="212"/>
      <c r="M37" s="212"/>
      <c r="O37">
        <v>3</v>
      </c>
      <c r="P37" t="s">
        <v>121</v>
      </c>
      <c r="Q37">
        <v>1.5</v>
      </c>
    </row>
    <row r="38" spans="1:17" x14ac:dyDescent="0.35">
      <c r="A38" t="s">
        <v>422</v>
      </c>
      <c r="B38">
        <v>6</v>
      </c>
      <c r="C38" s="30">
        <v>4</v>
      </c>
      <c r="E38" t="s">
        <v>57</v>
      </c>
      <c r="F38" t="s">
        <v>57</v>
      </c>
      <c r="G38">
        <v>11</v>
      </c>
      <c r="H38">
        <v>6</v>
      </c>
      <c r="J38" t="s">
        <v>99</v>
      </c>
      <c r="K38" t="s">
        <v>26</v>
      </c>
      <c r="L38" t="s">
        <v>27</v>
      </c>
      <c r="M38" t="s">
        <v>239</v>
      </c>
      <c r="O38">
        <v>4</v>
      </c>
      <c r="P38" t="s">
        <v>122</v>
      </c>
      <c r="Q38">
        <v>1.5</v>
      </c>
    </row>
    <row r="39" spans="1:17" x14ac:dyDescent="0.35">
      <c r="A39" t="s">
        <v>423</v>
      </c>
      <c r="B39">
        <v>9</v>
      </c>
      <c r="C39" s="30">
        <v>6</v>
      </c>
      <c r="E39" t="s">
        <v>58</v>
      </c>
      <c r="F39" t="s">
        <v>58</v>
      </c>
      <c r="G39">
        <v>13</v>
      </c>
      <c r="H39">
        <v>6</v>
      </c>
      <c r="J39">
        <v>1</v>
      </c>
      <c r="K39" t="s">
        <v>62</v>
      </c>
      <c r="L39">
        <v>15</v>
      </c>
      <c r="M39">
        <v>3</v>
      </c>
      <c r="O39">
        <v>5</v>
      </c>
      <c r="P39" t="s">
        <v>123</v>
      </c>
      <c r="Q39">
        <v>3</v>
      </c>
    </row>
    <row r="40" spans="1:17" x14ac:dyDescent="0.35">
      <c r="E40" t="s">
        <v>55</v>
      </c>
      <c r="F40" t="s">
        <v>55</v>
      </c>
      <c r="G40">
        <v>12</v>
      </c>
      <c r="H40">
        <v>6</v>
      </c>
      <c r="J40">
        <v>2</v>
      </c>
      <c r="K40" t="s">
        <v>246</v>
      </c>
      <c r="L40">
        <v>6</v>
      </c>
      <c r="M40">
        <v>3</v>
      </c>
      <c r="O40">
        <v>6</v>
      </c>
      <c r="P40" t="s">
        <v>124</v>
      </c>
      <c r="Q40">
        <v>3</v>
      </c>
    </row>
    <row r="41" spans="1:17" x14ac:dyDescent="0.35">
      <c r="A41" s="212" t="s">
        <v>316</v>
      </c>
      <c r="B41" s="212"/>
      <c r="C41" s="212"/>
      <c r="E41" t="s">
        <v>59</v>
      </c>
      <c r="F41" t="s">
        <v>59</v>
      </c>
      <c r="G41">
        <v>12</v>
      </c>
      <c r="H41">
        <v>6</v>
      </c>
      <c r="J41">
        <v>3</v>
      </c>
      <c r="K41" t="s">
        <v>58</v>
      </c>
      <c r="L41">
        <v>13</v>
      </c>
      <c r="M41">
        <v>3</v>
      </c>
      <c r="O41">
        <v>7</v>
      </c>
      <c r="P41" t="s">
        <v>125</v>
      </c>
      <c r="Q41">
        <v>3.5</v>
      </c>
    </row>
    <row r="42" spans="1:17" x14ac:dyDescent="0.35">
      <c r="A42" s="33" t="s">
        <v>100</v>
      </c>
      <c r="B42" s="33" t="s">
        <v>27</v>
      </c>
      <c r="C42" s="52" t="s">
        <v>239</v>
      </c>
      <c r="E42" t="s">
        <v>53</v>
      </c>
      <c r="F42" t="s">
        <v>53</v>
      </c>
      <c r="G42">
        <v>9</v>
      </c>
      <c r="H42">
        <v>6</v>
      </c>
      <c r="J42">
        <v>4</v>
      </c>
      <c r="K42" t="s">
        <v>49</v>
      </c>
      <c r="L42">
        <v>6</v>
      </c>
      <c r="M42">
        <v>3</v>
      </c>
      <c r="O42">
        <v>8</v>
      </c>
      <c r="P42" t="s">
        <v>126</v>
      </c>
      <c r="Q42">
        <v>3.5</v>
      </c>
    </row>
    <row r="43" spans="1:17" x14ac:dyDescent="0.35">
      <c r="A43" s="31" t="s">
        <v>418</v>
      </c>
      <c r="B43" s="53">
        <v>8</v>
      </c>
      <c r="C43" s="53">
        <v>6</v>
      </c>
      <c r="J43">
        <v>5</v>
      </c>
      <c r="K43" t="s">
        <v>50</v>
      </c>
      <c r="L43">
        <v>6</v>
      </c>
      <c r="M43">
        <v>3</v>
      </c>
      <c r="O43">
        <v>9</v>
      </c>
      <c r="P43" t="s">
        <v>117</v>
      </c>
      <c r="Q43">
        <v>3</v>
      </c>
    </row>
    <row r="44" spans="1:17" x14ac:dyDescent="0.35">
      <c r="A44" s="32" t="s">
        <v>412</v>
      </c>
      <c r="B44" s="54">
        <v>9</v>
      </c>
      <c r="C44" s="54">
        <v>6</v>
      </c>
      <c r="E44" s="212" t="s">
        <v>324</v>
      </c>
      <c r="F44" s="212"/>
      <c r="G44" s="212"/>
      <c r="H44" s="212"/>
      <c r="J44">
        <v>6</v>
      </c>
      <c r="K44" t="s">
        <v>59</v>
      </c>
      <c r="L44">
        <v>12</v>
      </c>
      <c r="M44">
        <v>3</v>
      </c>
      <c r="O44">
        <v>10</v>
      </c>
      <c r="P44" t="s">
        <v>121</v>
      </c>
      <c r="Q44">
        <v>1</v>
      </c>
    </row>
    <row r="45" spans="1:17" x14ac:dyDescent="0.35">
      <c r="A45" s="32" t="s">
        <v>413</v>
      </c>
      <c r="B45" s="54">
        <v>9</v>
      </c>
      <c r="C45" s="54">
        <v>6</v>
      </c>
      <c r="E45" t="s">
        <v>100</v>
      </c>
      <c r="F45" t="s">
        <v>159</v>
      </c>
      <c r="G45" t="s">
        <v>27</v>
      </c>
      <c r="H45" t="s">
        <v>239</v>
      </c>
      <c r="O45">
        <v>11</v>
      </c>
      <c r="P45" t="s">
        <v>127</v>
      </c>
      <c r="Q45">
        <v>2</v>
      </c>
    </row>
    <row r="46" spans="1:17" x14ac:dyDescent="0.35">
      <c r="A46" s="32" t="s">
        <v>414</v>
      </c>
      <c r="B46" s="54">
        <v>9</v>
      </c>
      <c r="C46" s="54">
        <v>6</v>
      </c>
      <c r="E46" t="s">
        <v>61</v>
      </c>
      <c r="F46" t="s">
        <v>61</v>
      </c>
      <c r="G46">
        <v>13</v>
      </c>
      <c r="H46">
        <v>6</v>
      </c>
      <c r="J46" s="212" t="s">
        <v>336</v>
      </c>
      <c r="K46" s="212"/>
      <c r="L46" s="212"/>
      <c r="M46" s="212"/>
      <c r="O46">
        <v>12</v>
      </c>
      <c r="P46" t="s">
        <v>128</v>
      </c>
      <c r="Q46">
        <v>2</v>
      </c>
    </row>
    <row r="47" spans="1:17" x14ac:dyDescent="0.35">
      <c r="A47" s="32" t="s">
        <v>415</v>
      </c>
      <c r="B47" s="54">
        <v>10</v>
      </c>
      <c r="C47" s="54">
        <v>6</v>
      </c>
      <c r="E47" t="s">
        <v>62</v>
      </c>
      <c r="F47" t="s">
        <v>62</v>
      </c>
      <c r="G47">
        <v>15</v>
      </c>
      <c r="H47">
        <v>6</v>
      </c>
      <c r="J47" t="s">
        <v>99</v>
      </c>
      <c r="K47" t="s">
        <v>26</v>
      </c>
      <c r="L47" t="s">
        <v>27</v>
      </c>
      <c r="M47" t="s">
        <v>239</v>
      </c>
    </row>
    <row r="48" spans="1:17" x14ac:dyDescent="0.35">
      <c r="A48" s="106" t="s">
        <v>417</v>
      </c>
      <c r="B48" s="107">
        <v>9</v>
      </c>
      <c r="C48" s="107">
        <v>6</v>
      </c>
      <c r="E48" t="s">
        <v>60</v>
      </c>
      <c r="F48" t="s">
        <v>60</v>
      </c>
      <c r="G48">
        <v>14</v>
      </c>
      <c r="H48">
        <v>6</v>
      </c>
      <c r="J48">
        <v>1</v>
      </c>
      <c r="K48" t="s">
        <v>62</v>
      </c>
      <c r="L48">
        <v>15</v>
      </c>
      <c r="M48">
        <v>3</v>
      </c>
    </row>
    <row r="49" spans="1:17" x14ac:dyDescent="0.35">
      <c r="A49" s="106" t="s">
        <v>419</v>
      </c>
      <c r="B49" s="146" t="s">
        <v>349</v>
      </c>
      <c r="C49" s="107">
        <v>6</v>
      </c>
      <c r="E49" t="s">
        <v>212</v>
      </c>
      <c r="F49" t="s">
        <v>212</v>
      </c>
      <c r="G49">
        <v>12</v>
      </c>
      <c r="H49">
        <v>6</v>
      </c>
      <c r="J49">
        <v>2</v>
      </c>
      <c r="K49" t="s">
        <v>54</v>
      </c>
      <c r="L49">
        <v>10</v>
      </c>
      <c r="M49">
        <v>3</v>
      </c>
      <c r="O49" s="212" t="s">
        <v>243</v>
      </c>
      <c r="P49" s="212" t="s">
        <v>94</v>
      </c>
      <c r="Q49" s="212"/>
    </row>
    <row r="50" spans="1:17" x14ac:dyDescent="0.35">
      <c r="A50" s="212" t="s">
        <v>317</v>
      </c>
      <c r="B50" s="212"/>
      <c r="C50" s="212"/>
      <c r="E50" t="s">
        <v>213</v>
      </c>
      <c r="F50" t="s">
        <v>213</v>
      </c>
      <c r="G50">
        <v>12</v>
      </c>
      <c r="H50">
        <v>6</v>
      </c>
      <c r="J50">
        <v>3</v>
      </c>
      <c r="K50" t="s">
        <v>58</v>
      </c>
      <c r="L50">
        <v>13</v>
      </c>
      <c r="M50">
        <v>3</v>
      </c>
      <c r="O50" t="s">
        <v>99</v>
      </c>
      <c r="P50" t="s">
        <v>100</v>
      </c>
      <c r="Q50" t="s">
        <v>27</v>
      </c>
    </row>
    <row r="51" spans="1:17" x14ac:dyDescent="0.35">
      <c r="A51" t="s">
        <v>100</v>
      </c>
      <c r="B51" t="s">
        <v>27</v>
      </c>
      <c r="C51" t="s">
        <v>239</v>
      </c>
      <c r="E51" t="s">
        <v>56</v>
      </c>
      <c r="F51" t="s">
        <v>56</v>
      </c>
      <c r="G51">
        <v>12</v>
      </c>
      <c r="H51">
        <v>6</v>
      </c>
      <c r="J51">
        <v>4</v>
      </c>
      <c r="K51" t="s">
        <v>246</v>
      </c>
      <c r="L51">
        <v>6</v>
      </c>
      <c r="M51">
        <v>3</v>
      </c>
      <c r="O51">
        <v>1</v>
      </c>
      <c r="P51" t="s">
        <v>129</v>
      </c>
      <c r="Q51">
        <v>3</v>
      </c>
    </row>
    <row r="52" spans="1:17" x14ac:dyDescent="0.35">
      <c r="A52" t="s">
        <v>350</v>
      </c>
      <c r="B52" s="147" t="s">
        <v>349</v>
      </c>
      <c r="C52" s="30">
        <v>6</v>
      </c>
      <c r="E52" t="s">
        <v>63</v>
      </c>
      <c r="F52" t="s">
        <v>63</v>
      </c>
      <c r="G52">
        <v>13</v>
      </c>
      <c r="H52">
        <v>6</v>
      </c>
      <c r="J52">
        <v>5</v>
      </c>
      <c r="K52" t="s">
        <v>57</v>
      </c>
      <c r="L52">
        <v>11</v>
      </c>
      <c r="M52">
        <v>3</v>
      </c>
      <c r="O52">
        <v>2</v>
      </c>
      <c r="P52" t="s">
        <v>134</v>
      </c>
      <c r="Q52">
        <v>4.5</v>
      </c>
    </row>
    <row r="53" spans="1:17" x14ac:dyDescent="0.35">
      <c r="A53" t="s">
        <v>351</v>
      </c>
      <c r="B53">
        <v>10</v>
      </c>
      <c r="C53" s="30">
        <v>6</v>
      </c>
      <c r="E53" t="s">
        <v>64</v>
      </c>
      <c r="F53" t="s">
        <v>64</v>
      </c>
      <c r="G53">
        <v>15</v>
      </c>
      <c r="H53">
        <v>6</v>
      </c>
      <c r="J53">
        <v>6</v>
      </c>
      <c r="K53" t="s">
        <v>59</v>
      </c>
      <c r="L53">
        <v>12</v>
      </c>
      <c r="M53">
        <v>3</v>
      </c>
      <c r="O53">
        <v>3</v>
      </c>
      <c r="P53" t="s">
        <v>130</v>
      </c>
      <c r="Q53">
        <v>3</v>
      </c>
    </row>
    <row r="54" spans="1:17" x14ac:dyDescent="0.35">
      <c r="A54" t="s">
        <v>352</v>
      </c>
      <c r="B54">
        <v>13</v>
      </c>
      <c r="C54" s="30">
        <v>6</v>
      </c>
      <c r="O54">
        <v>4</v>
      </c>
      <c r="P54" t="s">
        <v>131</v>
      </c>
      <c r="Q54">
        <v>3</v>
      </c>
    </row>
    <row r="55" spans="1:17" x14ac:dyDescent="0.35">
      <c r="A55" t="s">
        <v>353</v>
      </c>
      <c r="B55">
        <v>11</v>
      </c>
      <c r="C55" s="30">
        <v>6</v>
      </c>
      <c r="E55" s="212" t="s">
        <v>325</v>
      </c>
      <c r="F55" s="212"/>
      <c r="G55" s="212"/>
      <c r="H55" s="212"/>
      <c r="J55" s="212" t="s">
        <v>337</v>
      </c>
      <c r="K55" s="212"/>
      <c r="L55" s="212"/>
      <c r="M55" s="212"/>
      <c r="O55">
        <v>5</v>
      </c>
      <c r="P55" t="s">
        <v>132</v>
      </c>
      <c r="Q55">
        <v>3</v>
      </c>
    </row>
    <row r="56" spans="1:17" x14ac:dyDescent="0.35">
      <c r="A56" t="s">
        <v>354</v>
      </c>
      <c r="B56" s="147" t="s">
        <v>349</v>
      </c>
      <c r="C56" s="30">
        <v>6</v>
      </c>
      <c r="E56" t="s">
        <v>100</v>
      </c>
      <c r="F56" t="s">
        <v>159</v>
      </c>
      <c r="G56" t="s">
        <v>27</v>
      </c>
      <c r="H56" t="s">
        <v>239</v>
      </c>
      <c r="J56" t="s">
        <v>99</v>
      </c>
      <c r="K56" t="s">
        <v>26</v>
      </c>
      <c r="L56" t="s">
        <v>27</v>
      </c>
      <c r="M56" t="s">
        <v>239</v>
      </c>
      <c r="O56">
        <v>6</v>
      </c>
      <c r="P56" t="s">
        <v>133</v>
      </c>
      <c r="Q56">
        <v>3</v>
      </c>
    </row>
    <row r="57" spans="1:17" x14ac:dyDescent="0.35">
      <c r="A57" s="212" t="s">
        <v>318</v>
      </c>
      <c r="B57" s="212"/>
      <c r="C57" s="212"/>
      <c r="E57" t="s">
        <v>62</v>
      </c>
      <c r="F57" t="s">
        <v>62</v>
      </c>
      <c r="G57">
        <v>15</v>
      </c>
      <c r="H57">
        <v>6</v>
      </c>
      <c r="J57">
        <v>1</v>
      </c>
      <c r="K57" t="s">
        <v>74</v>
      </c>
      <c r="L57">
        <v>20</v>
      </c>
      <c r="M57">
        <v>3</v>
      </c>
      <c r="O57">
        <v>7</v>
      </c>
      <c r="P57" t="s">
        <v>232</v>
      </c>
      <c r="Q57">
        <v>3</v>
      </c>
    </row>
    <row r="58" spans="1:17" x14ac:dyDescent="0.35">
      <c r="A58" t="s">
        <v>100</v>
      </c>
      <c r="B58" t="s">
        <v>27</v>
      </c>
      <c r="C58" t="s">
        <v>239</v>
      </c>
      <c r="E58" t="s">
        <v>64</v>
      </c>
      <c r="F58" t="s">
        <v>64</v>
      </c>
      <c r="G58">
        <v>15</v>
      </c>
      <c r="H58">
        <v>6</v>
      </c>
      <c r="J58">
        <v>2</v>
      </c>
      <c r="K58" t="s">
        <v>246</v>
      </c>
      <c r="L58">
        <v>6</v>
      </c>
      <c r="M58">
        <v>3</v>
      </c>
      <c r="O58">
        <v>8</v>
      </c>
      <c r="P58" t="s">
        <v>135</v>
      </c>
      <c r="Q58">
        <v>3</v>
      </c>
    </row>
    <row r="59" spans="1:17" x14ac:dyDescent="0.35">
      <c r="A59" t="s">
        <v>411</v>
      </c>
      <c r="B59">
        <v>8</v>
      </c>
      <c r="C59" s="30">
        <v>6</v>
      </c>
      <c r="E59" t="s">
        <v>60</v>
      </c>
      <c r="F59" t="s">
        <v>60</v>
      </c>
      <c r="G59">
        <v>14</v>
      </c>
      <c r="H59">
        <v>6</v>
      </c>
      <c r="J59">
        <v>3</v>
      </c>
      <c r="K59" t="s">
        <v>73</v>
      </c>
      <c r="L59">
        <v>17</v>
      </c>
      <c r="M59">
        <v>3</v>
      </c>
      <c r="O59">
        <v>9</v>
      </c>
      <c r="P59" t="s">
        <v>136</v>
      </c>
      <c r="Q59">
        <v>1.5</v>
      </c>
    </row>
    <row r="60" spans="1:17" x14ac:dyDescent="0.35">
      <c r="A60" t="s">
        <v>412</v>
      </c>
      <c r="B60">
        <v>9</v>
      </c>
      <c r="C60" s="30">
        <v>6</v>
      </c>
      <c r="E60" t="s">
        <v>67</v>
      </c>
      <c r="F60" t="s">
        <v>67</v>
      </c>
      <c r="G60">
        <v>14</v>
      </c>
      <c r="H60">
        <v>6</v>
      </c>
      <c r="J60">
        <v>4</v>
      </c>
      <c r="K60" t="s">
        <v>49</v>
      </c>
      <c r="L60">
        <v>6</v>
      </c>
      <c r="M60">
        <v>3</v>
      </c>
      <c r="O60">
        <v>10</v>
      </c>
      <c r="P60" t="s">
        <v>137</v>
      </c>
      <c r="Q60">
        <v>3</v>
      </c>
    </row>
    <row r="61" spans="1:17" x14ac:dyDescent="0.35">
      <c r="A61" t="s">
        <v>413</v>
      </c>
      <c r="B61">
        <v>9</v>
      </c>
      <c r="C61" s="30">
        <v>6</v>
      </c>
      <c r="E61" t="s">
        <v>214</v>
      </c>
      <c r="F61" t="s">
        <v>214</v>
      </c>
      <c r="G61">
        <v>14</v>
      </c>
      <c r="H61">
        <v>6</v>
      </c>
      <c r="J61">
        <v>5</v>
      </c>
      <c r="K61" t="s">
        <v>58</v>
      </c>
      <c r="L61">
        <v>13</v>
      </c>
      <c r="M61">
        <v>3</v>
      </c>
      <c r="O61">
        <v>11</v>
      </c>
      <c r="P61" t="s">
        <v>145</v>
      </c>
      <c r="Q61" t="s">
        <v>145</v>
      </c>
    </row>
    <row r="62" spans="1:17" x14ac:dyDescent="0.35">
      <c r="A62" t="s">
        <v>414</v>
      </c>
      <c r="B62">
        <v>9</v>
      </c>
      <c r="C62" s="30">
        <v>6</v>
      </c>
      <c r="E62" t="s">
        <v>215</v>
      </c>
      <c r="F62" t="s">
        <v>215</v>
      </c>
      <c r="G62">
        <v>14</v>
      </c>
      <c r="H62">
        <v>6</v>
      </c>
      <c r="J62">
        <v>6</v>
      </c>
      <c r="K62" t="s">
        <v>68</v>
      </c>
      <c r="L62">
        <v>16</v>
      </c>
      <c r="M62">
        <v>3</v>
      </c>
      <c r="O62">
        <v>12</v>
      </c>
      <c r="P62" t="s">
        <v>145</v>
      </c>
      <c r="Q62" t="s">
        <v>145</v>
      </c>
    </row>
    <row r="63" spans="1:17" x14ac:dyDescent="0.35">
      <c r="A63" t="s">
        <v>415</v>
      </c>
      <c r="B63">
        <v>10</v>
      </c>
      <c r="C63" s="30">
        <v>6</v>
      </c>
      <c r="E63" t="s">
        <v>65</v>
      </c>
      <c r="F63" t="s">
        <v>65</v>
      </c>
      <c r="G63">
        <v>14</v>
      </c>
      <c r="H63">
        <v>6</v>
      </c>
    </row>
    <row r="64" spans="1:17" x14ac:dyDescent="0.35">
      <c r="A64" t="s">
        <v>416</v>
      </c>
      <c r="B64">
        <v>10</v>
      </c>
      <c r="C64" s="30">
        <v>6</v>
      </c>
      <c r="E64" t="s">
        <v>216</v>
      </c>
      <c r="F64" t="s">
        <v>216</v>
      </c>
      <c r="G64">
        <v>13</v>
      </c>
      <c r="H64">
        <v>6</v>
      </c>
    </row>
    <row r="65" spans="1:17" x14ac:dyDescent="0.35">
      <c r="A65" s="106" t="s">
        <v>417</v>
      </c>
      <c r="B65" s="107">
        <v>9</v>
      </c>
      <c r="C65" s="107">
        <v>6</v>
      </c>
      <c r="E65" t="s">
        <v>217</v>
      </c>
      <c r="F65" t="s">
        <v>217</v>
      </c>
      <c r="G65">
        <v>12</v>
      </c>
      <c r="H65">
        <v>6</v>
      </c>
      <c r="O65" s="212" t="s">
        <v>244</v>
      </c>
      <c r="P65" s="212"/>
      <c r="Q65" s="212"/>
    </row>
    <row r="66" spans="1:17" x14ac:dyDescent="0.35">
      <c r="E66" t="s">
        <v>73</v>
      </c>
      <c r="F66" t="s">
        <v>73</v>
      </c>
      <c r="G66">
        <v>17</v>
      </c>
      <c r="H66">
        <v>6</v>
      </c>
      <c r="O66" t="s">
        <v>99</v>
      </c>
      <c r="P66" t="s">
        <v>100</v>
      </c>
      <c r="Q66" t="s">
        <v>27</v>
      </c>
    </row>
    <row r="67" spans="1:17" x14ac:dyDescent="0.35">
      <c r="A67" s="212" t="s">
        <v>319</v>
      </c>
      <c r="B67" s="212"/>
      <c r="C67" s="212"/>
      <c r="O67">
        <v>1</v>
      </c>
      <c r="P67" t="s">
        <v>138</v>
      </c>
      <c r="Q67">
        <v>5</v>
      </c>
    </row>
    <row r="68" spans="1:17" x14ac:dyDescent="0.35">
      <c r="A68" t="s">
        <v>100</v>
      </c>
      <c r="B68" t="s">
        <v>27</v>
      </c>
      <c r="C68" t="s">
        <v>239</v>
      </c>
      <c r="E68" s="212" t="s">
        <v>326</v>
      </c>
      <c r="F68" s="212"/>
      <c r="G68" s="212"/>
      <c r="H68" s="212"/>
      <c r="O68">
        <v>2</v>
      </c>
      <c r="P68" t="s">
        <v>132</v>
      </c>
      <c r="Q68">
        <v>3</v>
      </c>
    </row>
    <row r="69" spans="1:17" x14ac:dyDescent="0.35">
      <c r="A69" t="s">
        <v>197</v>
      </c>
      <c r="B69">
        <v>10</v>
      </c>
      <c r="C69" s="30">
        <v>6</v>
      </c>
      <c r="E69" t="s">
        <v>100</v>
      </c>
      <c r="F69" t="s">
        <v>159</v>
      </c>
      <c r="G69" t="s">
        <v>27</v>
      </c>
      <c r="H69" t="s">
        <v>239</v>
      </c>
      <c r="O69">
        <v>3</v>
      </c>
      <c r="P69" t="s">
        <v>139</v>
      </c>
      <c r="Q69">
        <v>4</v>
      </c>
    </row>
    <row r="70" spans="1:17" x14ac:dyDescent="0.35">
      <c r="A70" t="s">
        <v>182</v>
      </c>
      <c r="B70">
        <v>13</v>
      </c>
      <c r="C70" s="30">
        <v>6</v>
      </c>
      <c r="E70" t="s">
        <v>62</v>
      </c>
      <c r="F70" t="s">
        <v>62</v>
      </c>
      <c r="G70">
        <v>15</v>
      </c>
      <c r="H70">
        <v>6</v>
      </c>
      <c r="O70">
        <v>4</v>
      </c>
      <c r="P70" t="s">
        <v>140</v>
      </c>
      <c r="Q70">
        <v>4</v>
      </c>
    </row>
    <row r="71" spans="1:17" x14ac:dyDescent="0.35">
      <c r="A71" t="s">
        <v>183</v>
      </c>
      <c r="B71">
        <v>11</v>
      </c>
      <c r="C71" s="30">
        <v>6</v>
      </c>
      <c r="E71" t="s">
        <v>64</v>
      </c>
      <c r="F71" t="s">
        <v>64</v>
      </c>
      <c r="G71">
        <v>15</v>
      </c>
      <c r="H71">
        <v>6</v>
      </c>
      <c r="O71">
        <v>5</v>
      </c>
      <c r="P71" t="s">
        <v>141</v>
      </c>
      <c r="Q71">
        <v>4</v>
      </c>
    </row>
    <row r="72" spans="1:17" x14ac:dyDescent="0.35">
      <c r="A72" t="s">
        <v>198</v>
      </c>
      <c r="B72">
        <v>12</v>
      </c>
      <c r="C72" s="30">
        <v>6</v>
      </c>
      <c r="E72" t="s">
        <v>60</v>
      </c>
      <c r="F72" t="s">
        <v>60</v>
      </c>
      <c r="G72">
        <v>14</v>
      </c>
      <c r="H72">
        <v>6</v>
      </c>
      <c r="O72">
        <v>6</v>
      </c>
      <c r="P72" t="s">
        <v>142</v>
      </c>
      <c r="Q72">
        <v>2</v>
      </c>
    </row>
    <row r="73" spans="1:17" x14ac:dyDescent="0.35">
      <c r="E73" t="s">
        <v>67</v>
      </c>
      <c r="F73" t="s">
        <v>67</v>
      </c>
      <c r="G73">
        <v>14</v>
      </c>
      <c r="H73">
        <v>6</v>
      </c>
      <c r="O73">
        <v>7</v>
      </c>
      <c r="P73" t="s">
        <v>143</v>
      </c>
      <c r="Q73">
        <v>3</v>
      </c>
    </row>
    <row r="74" spans="1:17" x14ac:dyDescent="0.35">
      <c r="E74" t="s">
        <v>214</v>
      </c>
      <c r="F74" t="s">
        <v>214</v>
      </c>
      <c r="G74">
        <v>14</v>
      </c>
      <c r="H74">
        <v>6</v>
      </c>
      <c r="O74">
        <v>8</v>
      </c>
      <c r="P74" t="s">
        <v>144</v>
      </c>
      <c r="Q74">
        <v>5</v>
      </c>
    </row>
    <row r="75" spans="1:17" x14ac:dyDescent="0.35">
      <c r="E75" t="s">
        <v>215</v>
      </c>
      <c r="F75" t="s">
        <v>215</v>
      </c>
      <c r="G75">
        <v>14</v>
      </c>
      <c r="H75">
        <v>6</v>
      </c>
      <c r="O75">
        <v>9</v>
      </c>
      <c r="P75" t="s">
        <v>145</v>
      </c>
      <c r="Q75" t="s">
        <v>145</v>
      </c>
    </row>
    <row r="76" spans="1:17" x14ac:dyDescent="0.35">
      <c r="E76" t="s">
        <v>65</v>
      </c>
      <c r="F76" t="s">
        <v>65</v>
      </c>
      <c r="G76">
        <v>14</v>
      </c>
      <c r="H76">
        <v>6</v>
      </c>
      <c r="O76">
        <v>10</v>
      </c>
      <c r="P76" t="s">
        <v>145</v>
      </c>
      <c r="Q76" t="s">
        <v>145</v>
      </c>
    </row>
    <row r="77" spans="1:17" x14ac:dyDescent="0.35">
      <c r="E77" t="s">
        <v>381</v>
      </c>
      <c r="F77" t="s">
        <v>381</v>
      </c>
      <c r="G77">
        <v>13</v>
      </c>
      <c r="H77">
        <v>6</v>
      </c>
      <c r="O77">
        <v>11</v>
      </c>
      <c r="P77" t="s">
        <v>145</v>
      </c>
      <c r="Q77" t="s">
        <v>145</v>
      </c>
    </row>
    <row r="78" spans="1:17" x14ac:dyDescent="0.35">
      <c r="E78" t="s">
        <v>217</v>
      </c>
      <c r="F78" t="s">
        <v>217</v>
      </c>
      <c r="G78">
        <v>12</v>
      </c>
      <c r="H78">
        <v>6</v>
      </c>
      <c r="O78">
        <v>12</v>
      </c>
      <c r="P78" t="s">
        <v>145</v>
      </c>
      <c r="Q78" t="s">
        <v>145</v>
      </c>
    </row>
    <row r="79" spans="1:17" x14ac:dyDescent="0.35">
      <c r="E79" t="s">
        <v>73</v>
      </c>
      <c r="F79" t="s">
        <v>73</v>
      </c>
      <c r="G79">
        <v>17</v>
      </c>
      <c r="H79">
        <v>6</v>
      </c>
    </row>
    <row r="83" spans="5:8" x14ac:dyDescent="0.35">
      <c r="E83" s="212" t="s">
        <v>327</v>
      </c>
      <c r="F83" s="212"/>
      <c r="G83" s="212"/>
      <c r="H83" s="212"/>
    </row>
    <row r="84" spans="5:8" x14ac:dyDescent="0.35">
      <c r="E84" t="s">
        <v>100</v>
      </c>
      <c r="F84" t="s">
        <v>159</v>
      </c>
      <c r="G84" t="s">
        <v>27</v>
      </c>
      <c r="H84" t="s">
        <v>239</v>
      </c>
    </row>
    <row r="85" spans="5:8" x14ac:dyDescent="0.35">
      <c r="E85" t="s">
        <v>52</v>
      </c>
      <c r="F85" t="s">
        <v>52</v>
      </c>
      <c r="G85">
        <v>8</v>
      </c>
      <c r="H85">
        <v>6</v>
      </c>
    </row>
    <row r="86" spans="5:8" x14ac:dyDescent="0.35">
      <c r="E86" t="s">
        <v>48</v>
      </c>
      <c r="F86" t="s">
        <v>48</v>
      </c>
      <c r="G86">
        <v>9</v>
      </c>
      <c r="H86">
        <v>6</v>
      </c>
    </row>
    <row r="87" spans="5:8" x14ac:dyDescent="0.35">
      <c r="E87" t="s">
        <v>57</v>
      </c>
      <c r="F87" t="s">
        <v>57</v>
      </c>
      <c r="G87">
        <v>11</v>
      </c>
      <c r="H87">
        <v>6</v>
      </c>
    </row>
    <row r="88" spans="5:8" x14ac:dyDescent="0.35">
      <c r="E88" t="s">
        <v>58</v>
      </c>
      <c r="F88" t="s">
        <v>58</v>
      </c>
      <c r="G88">
        <v>13</v>
      </c>
      <c r="H88">
        <v>6</v>
      </c>
    </row>
    <row r="89" spans="5:8" x14ac:dyDescent="0.35">
      <c r="E89" t="s">
        <v>55</v>
      </c>
      <c r="F89" t="s">
        <v>55</v>
      </c>
      <c r="G89">
        <v>12</v>
      </c>
      <c r="H89">
        <v>6</v>
      </c>
    </row>
    <row r="90" spans="5:8" x14ac:dyDescent="0.35">
      <c r="E90" t="s">
        <v>59</v>
      </c>
      <c r="F90" t="s">
        <v>59</v>
      </c>
      <c r="G90">
        <v>12</v>
      </c>
      <c r="H90">
        <v>6</v>
      </c>
    </row>
    <row r="91" spans="5:8" x14ac:dyDescent="0.35">
      <c r="E91" t="s">
        <v>53</v>
      </c>
      <c r="F91" t="s">
        <v>53</v>
      </c>
      <c r="G91">
        <v>9</v>
      </c>
      <c r="H91">
        <v>6</v>
      </c>
    </row>
    <row r="92" spans="5:8" x14ac:dyDescent="0.35">
      <c r="E92" t="s">
        <v>61</v>
      </c>
      <c r="F92" t="s">
        <v>61</v>
      </c>
      <c r="G92">
        <v>13</v>
      </c>
      <c r="H92">
        <v>6</v>
      </c>
    </row>
    <row r="94" spans="5:8" x14ac:dyDescent="0.35">
      <c r="E94" s="212" t="s">
        <v>328</v>
      </c>
      <c r="F94" s="212"/>
      <c r="G94" s="212"/>
      <c r="H94" s="212"/>
    </row>
    <row r="95" spans="5:8" x14ac:dyDescent="0.35">
      <c r="E95" t="s">
        <v>100</v>
      </c>
      <c r="F95" t="s">
        <v>159</v>
      </c>
      <c r="G95" t="s">
        <v>27</v>
      </c>
      <c r="H95" t="s">
        <v>239</v>
      </c>
    </row>
    <row r="96" spans="5:8" x14ac:dyDescent="0.35">
      <c r="E96" t="s">
        <v>62</v>
      </c>
      <c r="F96" t="s">
        <v>62</v>
      </c>
      <c r="G96">
        <v>15</v>
      </c>
      <c r="H96">
        <v>6</v>
      </c>
    </row>
    <row r="97" spans="5:8" x14ac:dyDescent="0.35">
      <c r="E97" t="s">
        <v>60</v>
      </c>
      <c r="F97" t="s">
        <v>60</v>
      </c>
      <c r="G97">
        <v>14</v>
      </c>
      <c r="H97">
        <v>6</v>
      </c>
    </row>
    <row r="98" spans="5:8" x14ac:dyDescent="0.35">
      <c r="E98" t="s">
        <v>63</v>
      </c>
      <c r="F98" t="s">
        <v>63</v>
      </c>
      <c r="G98">
        <v>13</v>
      </c>
      <c r="H98">
        <v>6</v>
      </c>
    </row>
    <row r="99" spans="5:8" x14ac:dyDescent="0.35">
      <c r="E99" t="s">
        <v>64</v>
      </c>
      <c r="F99" t="s">
        <v>64</v>
      </c>
      <c r="G99">
        <v>15</v>
      </c>
      <c r="H99">
        <v>6</v>
      </c>
    </row>
    <row r="100" spans="5:8" x14ac:dyDescent="0.35">
      <c r="E100" t="s">
        <v>67</v>
      </c>
      <c r="F100" t="s">
        <v>67</v>
      </c>
      <c r="G100">
        <v>14</v>
      </c>
      <c r="H100">
        <v>6</v>
      </c>
    </row>
    <row r="101" spans="5:8" x14ac:dyDescent="0.35">
      <c r="E101" t="s">
        <v>56</v>
      </c>
      <c r="F101" t="s">
        <v>56</v>
      </c>
      <c r="G101">
        <v>12</v>
      </c>
      <c r="H101">
        <v>6</v>
      </c>
    </row>
    <row r="102" spans="5:8" x14ac:dyDescent="0.35">
      <c r="E102" t="s">
        <v>73</v>
      </c>
      <c r="F102" t="s">
        <v>73</v>
      </c>
      <c r="G102">
        <v>17</v>
      </c>
      <c r="H102">
        <v>6</v>
      </c>
    </row>
    <row r="103" spans="5:8" x14ac:dyDescent="0.35">
      <c r="E103" t="s">
        <v>216</v>
      </c>
      <c r="F103" t="s">
        <v>216</v>
      </c>
      <c r="G103">
        <v>13</v>
      </c>
      <c r="H103">
        <v>6</v>
      </c>
    </row>
    <row r="104" spans="5:8" x14ac:dyDescent="0.35">
      <c r="E104" t="s">
        <v>217</v>
      </c>
      <c r="F104" t="s">
        <v>217</v>
      </c>
      <c r="G104">
        <v>12</v>
      </c>
      <c r="H104">
        <v>6</v>
      </c>
    </row>
    <row r="106" spans="5:8" x14ac:dyDescent="0.35">
      <c r="E106" s="212" t="s">
        <v>329</v>
      </c>
      <c r="F106" s="212"/>
      <c r="G106" s="212"/>
      <c r="H106" s="212"/>
    </row>
    <row r="107" spans="5:8" x14ac:dyDescent="0.35">
      <c r="E107" t="s">
        <v>100</v>
      </c>
      <c r="F107" t="s">
        <v>159</v>
      </c>
      <c r="G107" t="s">
        <v>27</v>
      </c>
      <c r="H107" t="s">
        <v>239</v>
      </c>
    </row>
    <row r="108" spans="5:8" x14ac:dyDescent="0.35">
      <c r="E108" t="s">
        <v>64</v>
      </c>
      <c r="F108" t="s">
        <v>64</v>
      </c>
      <c r="G108">
        <v>15</v>
      </c>
      <c r="H108">
        <v>6</v>
      </c>
    </row>
    <row r="109" spans="5:8" x14ac:dyDescent="0.35">
      <c r="E109" t="s">
        <v>219</v>
      </c>
      <c r="F109" t="s">
        <v>219</v>
      </c>
      <c r="G109">
        <v>15</v>
      </c>
      <c r="H109">
        <v>6</v>
      </c>
    </row>
    <row r="110" spans="5:8" x14ac:dyDescent="0.35">
      <c r="E110" t="s">
        <v>220</v>
      </c>
      <c r="F110" t="s">
        <v>220</v>
      </c>
      <c r="G110">
        <v>14</v>
      </c>
      <c r="H110">
        <v>6</v>
      </c>
    </row>
    <row r="111" spans="5:8" x14ac:dyDescent="0.35">
      <c r="E111" t="s">
        <v>73</v>
      </c>
      <c r="F111" t="s">
        <v>73</v>
      </c>
      <c r="G111">
        <v>17</v>
      </c>
      <c r="H111">
        <v>6</v>
      </c>
    </row>
    <row r="112" spans="5:8" x14ac:dyDescent="0.35">
      <c r="E112" t="s">
        <v>74</v>
      </c>
      <c r="F112" t="s">
        <v>74</v>
      </c>
      <c r="G112">
        <v>20</v>
      </c>
      <c r="H112">
        <v>6</v>
      </c>
    </row>
    <row r="113" spans="5:8" x14ac:dyDescent="0.35">
      <c r="E113" t="s">
        <v>218</v>
      </c>
      <c r="F113" t="s">
        <v>218</v>
      </c>
      <c r="G113">
        <v>16</v>
      </c>
      <c r="H113">
        <v>6</v>
      </c>
    </row>
    <row r="114" spans="5:8" x14ac:dyDescent="0.35">
      <c r="E114" t="s">
        <v>68</v>
      </c>
      <c r="F114" t="s">
        <v>68</v>
      </c>
      <c r="G114">
        <v>16</v>
      </c>
      <c r="H114">
        <v>6</v>
      </c>
    </row>
    <row r="115" spans="5:8" x14ac:dyDescent="0.35">
      <c r="E115" t="s">
        <v>69</v>
      </c>
      <c r="F115" t="s">
        <v>69</v>
      </c>
      <c r="G115">
        <v>15</v>
      </c>
      <c r="H115">
        <v>6</v>
      </c>
    </row>
    <row r="116" spans="5:8" x14ac:dyDescent="0.35">
      <c r="E116" t="s">
        <v>70</v>
      </c>
      <c r="F116" t="s">
        <v>70</v>
      </c>
      <c r="G116">
        <v>17</v>
      </c>
      <c r="H116">
        <v>6</v>
      </c>
    </row>
    <row r="117" spans="5:8" x14ac:dyDescent="0.35">
      <c r="E117" t="s">
        <v>71</v>
      </c>
      <c r="F117" t="s">
        <v>71</v>
      </c>
      <c r="G117">
        <v>16</v>
      </c>
      <c r="H117">
        <v>6</v>
      </c>
    </row>
    <row r="118" spans="5:8" x14ac:dyDescent="0.35">
      <c r="E118" t="s">
        <v>72</v>
      </c>
      <c r="F118" t="s">
        <v>72</v>
      </c>
      <c r="G118">
        <v>18</v>
      </c>
      <c r="H118">
        <v>6</v>
      </c>
    </row>
    <row r="120" spans="5:8" x14ac:dyDescent="0.35">
      <c r="E120" s="212" t="s">
        <v>330</v>
      </c>
      <c r="F120" s="212"/>
      <c r="G120" s="212"/>
      <c r="H120" s="212"/>
    </row>
    <row r="121" spans="5:8" x14ac:dyDescent="0.35">
      <c r="E121" t="s">
        <v>100</v>
      </c>
      <c r="F121" t="s">
        <v>159</v>
      </c>
      <c r="G121" t="s">
        <v>27</v>
      </c>
      <c r="H121" t="s">
        <v>239</v>
      </c>
    </row>
    <row r="122" spans="5:8" x14ac:dyDescent="0.35">
      <c r="E122" t="s">
        <v>64</v>
      </c>
      <c r="F122" t="s">
        <v>64</v>
      </c>
      <c r="G122">
        <v>15</v>
      </c>
      <c r="H122">
        <v>6</v>
      </c>
    </row>
    <row r="123" spans="5:8" x14ac:dyDescent="0.35">
      <c r="E123" t="s">
        <v>382</v>
      </c>
      <c r="F123" t="s">
        <v>382</v>
      </c>
      <c r="G123">
        <v>15</v>
      </c>
      <c r="H123">
        <v>6</v>
      </c>
    </row>
    <row r="124" spans="5:8" x14ac:dyDescent="0.35">
      <c r="E124" t="s">
        <v>220</v>
      </c>
      <c r="F124" t="s">
        <v>220</v>
      </c>
      <c r="G124">
        <v>14</v>
      </c>
      <c r="H124">
        <v>6</v>
      </c>
    </row>
    <row r="125" spans="5:8" x14ac:dyDescent="0.35">
      <c r="E125" t="s">
        <v>73</v>
      </c>
      <c r="F125" t="s">
        <v>73</v>
      </c>
      <c r="G125">
        <v>17</v>
      </c>
      <c r="H125">
        <v>6</v>
      </c>
    </row>
    <row r="126" spans="5:8" x14ac:dyDescent="0.35">
      <c r="E126" t="s">
        <v>74</v>
      </c>
      <c r="F126" t="s">
        <v>74</v>
      </c>
      <c r="G126">
        <v>20</v>
      </c>
      <c r="H126">
        <v>6</v>
      </c>
    </row>
    <row r="127" spans="5:8" x14ac:dyDescent="0.35">
      <c r="E127" t="s">
        <v>218</v>
      </c>
      <c r="F127" t="s">
        <v>218</v>
      </c>
      <c r="G127">
        <v>16</v>
      </c>
      <c r="H127">
        <v>6</v>
      </c>
    </row>
    <row r="128" spans="5:8" x14ac:dyDescent="0.35">
      <c r="E128" t="s">
        <v>68</v>
      </c>
      <c r="F128" t="s">
        <v>68</v>
      </c>
      <c r="G128">
        <v>16</v>
      </c>
      <c r="H128">
        <v>6</v>
      </c>
    </row>
    <row r="129" spans="5:8" x14ac:dyDescent="0.35">
      <c r="E129" t="s">
        <v>69</v>
      </c>
      <c r="F129" t="s">
        <v>69</v>
      </c>
      <c r="G129">
        <v>15</v>
      </c>
      <c r="H129">
        <v>6</v>
      </c>
    </row>
    <row r="130" spans="5:8" x14ac:dyDescent="0.35">
      <c r="E130" t="s">
        <v>70</v>
      </c>
      <c r="F130" t="s">
        <v>70</v>
      </c>
      <c r="G130">
        <v>17</v>
      </c>
      <c r="H130">
        <v>6</v>
      </c>
    </row>
    <row r="131" spans="5:8" x14ac:dyDescent="0.35">
      <c r="E131" t="s">
        <v>71</v>
      </c>
      <c r="F131" t="s">
        <v>71</v>
      </c>
      <c r="G131">
        <v>16</v>
      </c>
      <c r="H131">
        <v>6</v>
      </c>
    </row>
    <row r="132" spans="5:8" x14ac:dyDescent="0.35">
      <c r="E132" t="s">
        <v>72</v>
      </c>
      <c r="F132" t="s">
        <v>72</v>
      </c>
      <c r="G132">
        <v>18</v>
      </c>
      <c r="H132">
        <v>6</v>
      </c>
    </row>
  </sheetData>
  <mergeCells count="30">
    <mergeCell ref="J46:M46"/>
    <mergeCell ref="J55:M55"/>
    <mergeCell ref="O33:Q33"/>
    <mergeCell ref="O17:Q17"/>
    <mergeCell ref="O1:Q1"/>
    <mergeCell ref="J1:M1"/>
    <mergeCell ref="J10:M10"/>
    <mergeCell ref="J19:M19"/>
    <mergeCell ref="J28:M28"/>
    <mergeCell ref="J37:M37"/>
    <mergeCell ref="O65:Q65"/>
    <mergeCell ref="O49:Q49"/>
    <mergeCell ref="E120:H120"/>
    <mergeCell ref="E106:H106"/>
    <mergeCell ref="E94:H94"/>
    <mergeCell ref="E83:H83"/>
    <mergeCell ref="E68:H68"/>
    <mergeCell ref="E55:H55"/>
    <mergeCell ref="A67:C67"/>
    <mergeCell ref="A57:C57"/>
    <mergeCell ref="E20:H20"/>
    <mergeCell ref="E10:H10"/>
    <mergeCell ref="E1:H1"/>
    <mergeCell ref="A1:C1"/>
    <mergeCell ref="A13:C13"/>
    <mergeCell ref="A25:C25"/>
    <mergeCell ref="A41:C41"/>
    <mergeCell ref="A50:C50"/>
    <mergeCell ref="E44:H44"/>
    <mergeCell ref="E34:H34"/>
  </mergeCells>
  <pageMargins left="0.7" right="0.7" top="0.78740157499999996" bottom="0.78740157499999996" header="0.3" footer="0.3"/>
  <tableParts count="3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tabColor theme="7" tint="0.39997558519241921"/>
  </sheetPr>
  <dimension ref="A1:AM23"/>
  <sheetViews>
    <sheetView tabSelected="1" zoomScale="94" zoomScaleNormal="85" workbookViewId="0">
      <pane xSplit="2" ySplit="1" topLeftCell="E2" activePane="bottomRight" state="frozen"/>
      <selection activeCell="AJ4" sqref="AJ4"/>
      <selection pane="topRight" activeCell="AJ4" sqref="AJ4"/>
      <selection pane="bottomLeft" activeCell="AJ4" sqref="AJ4"/>
      <selection pane="bottomRight" activeCell="D32" sqref="D32"/>
    </sheetView>
  </sheetViews>
  <sheetFormatPr baseColWidth="10" defaultRowHeight="14.5" outlineLevelCol="2" x14ac:dyDescent="0.35"/>
  <cols>
    <col min="1" max="1" width="5.26953125" style="65" bestFit="1" customWidth="1"/>
    <col min="2" max="2" width="25.7265625" customWidth="1"/>
    <col min="3" max="3" width="5.7265625" customWidth="1"/>
    <col min="4" max="4" width="6.453125" customWidth="1"/>
    <col min="5" max="5" width="18.54296875" customWidth="1"/>
    <col min="6" max="10" width="8.54296875" style="98" hidden="1" customWidth="1" outlineLevel="2"/>
    <col min="11" max="11" width="15.81640625" style="98" customWidth="1" outlineLevel="1" collapsed="1"/>
    <col min="12" max="18" width="8.54296875" style="98" hidden="1" customWidth="1" outlineLevel="2"/>
    <col min="19" max="19" width="17.1796875" style="98" customWidth="1" outlineLevel="1" collapsed="1"/>
    <col min="20" max="20" width="8.54296875" style="101" hidden="1" customWidth="1" outlineLevel="2"/>
    <col min="21" max="30" width="8.54296875" style="98" hidden="1" customWidth="1" outlineLevel="2"/>
    <col min="31" max="31" width="12.26953125" style="101" customWidth="1" outlineLevel="1" collapsed="1"/>
    <col min="32" max="32" width="12" style="104" customWidth="1" outlineLevel="1"/>
    <col min="33" max="33" width="16.453125" style="105" bestFit="1" customWidth="1"/>
    <col min="35" max="35" width="13.90625" customWidth="1"/>
  </cols>
  <sheetData>
    <row r="1" spans="1:39" s="30" customFormat="1" ht="43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95" t="s">
        <v>5</v>
      </c>
      <c r="G1" s="95" t="s">
        <v>6</v>
      </c>
      <c r="H1" s="95" t="s">
        <v>7</v>
      </c>
      <c r="I1" s="95" t="s">
        <v>8</v>
      </c>
      <c r="J1" s="95" t="s">
        <v>9</v>
      </c>
      <c r="K1" s="95" t="s">
        <v>10</v>
      </c>
      <c r="L1" s="96" t="s">
        <v>11</v>
      </c>
      <c r="M1" s="96" t="s">
        <v>12</v>
      </c>
      <c r="N1" s="96" t="s">
        <v>221</v>
      </c>
      <c r="O1" s="96" t="s">
        <v>13</v>
      </c>
      <c r="P1" s="96" t="s">
        <v>222</v>
      </c>
      <c r="Q1" s="96" t="s">
        <v>14</v>
      </c>
      <c r="R1" s="96" t="s">
        <v>223</v>
      </c>
      <c r="S1" s="96" t="s">
        <v>16</v>
      </c>
      <c r="T1" s="100" t="s">
        <v>15</v>
      </c>
      <c r="U1" s="97" t="s">
        <v>18</v>
      </c>
      <c r="V1" s="97" t="s">
        <v>19</v>
      </c>
      <c r="W1" s="97" t="s">
        <v>20</v>
      </c>
      <c r="X1" s="97" t="s">
        <v>224</v>
      </c>
      <c r="Y1" s="97" t="s">
        <v>225</v>
      </c>
      <c r="Z1" s="97" t="s">
        <v>226</v>
      </c>
      <c r="AA1" s="97" t="s">
        <v>227</v>
      </c>
      <c r="AB1" s="97" t="s">
        <v>228</v>
      </c>
      <c r="AC1" s="97" t="s">
        <v>229</v>
      </c>
      <c r="AD1" s="97" t="s">
        <v>17</v>
      </c>
      <c r="AE1" s="100" t="s">
        <v>21</v>
      </c>
      <c r="AF1" s="103" t="s">
        <v>230</v>
      </c>
      <c r="AG1" s="102" t="s">
        <v>22</v>
      </c>
      <c r="AH1" s="138" t="s">
        <v>339</v>
      </c>
      <c r="AI1" s="157" t="s">
        <v>426</v>
      </c>
    </row>
    <row r="2" spans="1:39" x14ac:dyDescent="0.35">
      <c r="A2" s="65">
        <v>1</v>
      </c>
      <c r="B2" s="11" t="s">
        <v>395</v>
      </c>
      <c r="C2">
        <f>(BraunJanis!$H$1)</f>
        <v>2007</v>
      </c>
      <c r="D2">
        <f>(BraunJanis!$H$2)</f>
        <v>15</v>
      </c>
      <c r="E2" t="str">
        <f>(BraunJanis!$B$2)</f>
        <v>TV Nellingen</v>
      </c>
      <c r="F2" s="98">
        <f>(BraunJanis!$H$4)</f>
        <v>10</v>
      </c>
      <c r="G2" s="98">
        <f>(BraunJanis!$H$5)</f>
        <v>10</v>
      </c>
      <c r="H2" s="98">
        <f>(BraunJanis!$H$6)</f>
        <v>10</v>
      </c>
      <c r="I2" s="98">
        <f>(BraunJanis!$H$7)</f>
        <v>5</v>
      </c>
      <c r="J2" s="98">
        <f>(BraunJanis!$H$8)</f>
        <v>5</v>
      </c>
      <c r="K2" s="98">
        <f>(BraunJanis!$H$9)</f>
        <v>40</v>
      </c>
      <c r="L2" s="98">
        <f>(BraunJanis!$H$11)</f>
        <v>5</v>
      </c>
      <c r="M2" s="98">
        <f>(BraunJanis!$H$12)</f>
        <v>3</v>
      </c>
      <c r="N2" s="98">
        <f>(BraunJanis!$H$13)</f>
        <v>0</v>
      </c>
      <c r="O2" s="98">
        <f>(BraunJanis!$H$14)</f>
        <v>10</v>
      </c>
      <c r="P2" s="98">
        <f>(BraunJanis!$H$15)</f>
        <v>10</v>
      </c>
      <c r="Q2" s="98">
        <f>(BraunJanis!$H$16)</f>
        <v>10</v>
      </c>
      <c r="R2" s="98">
        <f>(BraunJanis!$H$17)</f>
        <v>6</v>
      </c>
      <c r="S2" s="98">
        <f>(BraunJanis!$H$18)</f>
        <v>44</v>
      </c>
      <c r="T2" s="101">
        <f>(BraunJanis!$H$20)</f>
        <v>10.600000000000023</v>
      </c>
      <c r="U2" s="98">
        <f ca="1">(BraunJanis!$H$21)</f>
        <v>8</v>
      </c>
      <c r="V2" s="98">
        <f ca="1">(BraunJanis!$H$22)</f>
        <v>11</v>
      </c>
      <c r="W2" s="98">
        <f>(BraunJanis!$H$23)</f>
        <v>0</v>
      </c>
      <c r="X2" s="98">
        <f>(BraunJanis!$H$24)</f>
        <v>11</v>
      </c>
      <c r="Y2" s="98">
        <f>(BraunJanis!$H$25)</f>
        <v>11</v>
      </c>
      <c r="Z2" s="98">
        <f>(BraunJanis!$H$26)</f>
        <v>13</v>
      </c>
      <c r="AA2" s="98">
        <f>(BraunJanis!$H$27)</f>
        <v>10</v>
      </c>
      <c r="AB2" s="98">
        <f>(BraunJanis!$H$28)</f>
        <v>0</v>
      </c>
      <c r="AC2" s="98">
        <f>(BraunJanis!$H$29)</f>
        <v>0</v>
      </c>
      <c r="AD2" s="98">
        <f>(BraunJanis!$H$35)</f>
        <v>23</v>
      </c>
      <c r="AE2" s="101">
        <f ca="1">(BraunJanis!$H$36)</f>
        <v>97.600000000000023</v>
      </c>
      <c r="AF2" s="104">
        <f ca="1">(BraunJanis!$H$50)</f>
        <v>27.5</v>
      </c>
      <c r="AG2" s="105">
        <f ca="1">(BraunJanis!$H$51)</f>
        <v>209.10000000000002</v>
      </c>
      <c r="AH2" s="137">
        <f t="shared" ref="AH2:AH20" ca="1" si="0">K2+S2+AF2</f>
        <v>111.5</v>
      </c>
      <c r="AI2" s="150" t="s">
        <v>385</v>
      </c>
      <c r="AJ2">
        <f>(BraunJanis!$B$76)</f>
        <v>0</v>
      </c>
      <c r="AK2">
        <f>(BraunJanis!$B$77)</f>
        <v>0</v>
      </c>
      <c r="AL2">
        <f>(BraunJanis!$B$78)</f>
        <v>0</v>
      </c>
      <c r="AM2">
        <f>(BraunJanis!$B$79)</f>
        <v>0</v>
      </c>
    </row>
    <row r="3" spans="1:39" x14ac:dyDescent="0.35">
      <c r="A3" s="144">
        <v>2</v>
      </c>
      <c r="B3" s="11" t="s">
        <v>391</v>
      </c>
      <c r="C3">
        <f>(BauerPhilipp!$H$1)</f>
        <v>2007</v>
      </c>
      <c r="D3">
        <f>(BauerPhilipp!$H$2)</f>
        <v>15</v>
      </c>
      <c r="E3" t="str">
        <f>(BauerPhilipp!$B$2)</f>
        <v>SC Cottbus</v>
      </c>
      <c r="F3" s="98">
        <f>(BauerPhilipp!$H$4)</f>
        <v>10</v>
      </c>
      <c r="G3" s="98">
        <f>(BauerPhilipp!$H$5)</f>
        <v>6</v>
      </c>
      <c r="H3" s="98">
        <f>(BauerPhilipp!$H$6)</f>
        <v>10</v>
      </c>
      <c r="I3" s="98">
        <f>(BauerPhilipp!$H$7)</f>
        <v>5</v>
      </c>
      <c r="J3" s="98">
        <f>(BauerPhilipp!$H$8)</f>
        <v>5</v>
      </c>
      <c r="K3" s="98">
        <f>(BauerPhilipp!$H$9)</f>
        <v>36</v>
      </c>
      <c r="L3" s="98">
        <f>(BauerPhilipp!$H$11)</f>
        <v>7</v>
      </c>
      <c r="M3" s="98">
        <f>(BauerPhilipp!$H$12)</f>
        <v>0</v>
      </c>
      <c r="N3" s="98">
        <f>(BauerPhilipp!$H$13)</f>
        <v>7</v>
      </c>
      <c r="O3" s="98">
        <f>(BauerPhilipp!$H$14)</f>
        <v>8</v>
      </c>
      <c r="P3" s="98">
        <f>(BauerPhilipp!$H$15)</f>
        <v>10</v>
      </c>
      <c r="Q3" s="98">
        <f>(BauerPhilipp!$H$16)</f>
        <v>10</v>
      </c>
      <c r="R3" s="98">
        <f>(BauerPhilipp!$H$17)</f>
        <v>4</v>
      </c>
      <c r="S3" s="98">
        <f>(BauerPhilipp!$H$18)</f>
        <v>46</v>
      </c>
      <c r="T3" s="101">
        <f>(BauerPhilipp!$H$20)</f>
        <v>2.2000000000000242</v>
      </c>
      <c r="U3" s="98">
        <f ca="1">(BauerPhilipp!$H$21)</f>
        <v>8</v>
      </c>
      <c r="V3" s="98">
        <f>(BauerPhilipp!$H$22)</f>
        <v>4</v>
      </c>
      <c r="W3" s="98">
        <f>(BauerPhilipp!$H$23)</f>
        <v>0</v>
      </c>
      <c r="X3" s="98">
        <f>(BauerPhilipp!$H$24)</f>
        <v>11</v>
      </c>
      <c r="Y3" s="98">
        <f>(BauerPhilipp!$H$25)</f>
        <v>6</v>
      </c>
      <c r="Z3" s="98">
        <f>(BauerPhilipp!$H$26)</f>
        <v>10</v>
      </c>
      <c r="AA3" s="98">
        <f>(BauerPhilipp!$H$27)</f>
        <v>9</v>
      </c>
      <c r="AB3" s="98">
        <f>(BauerPhilipp!$H$28)</f>
        <v>0</v>
      </c>
      <c r="AC3" s="98">
        <f>(BauerPhilipp!$H$29)</f>
        <v>0</v>
      </c>
      <c r="AD3" s="98">
        <f>(BauerPhilipp!$H$35)</f>
        <v>15</v>
      </c>
      <c r="AE3" s="101">
        <f ca="1">(BauerPhilipp!$H$36)</f>
        <v>65.200000000000017</v>
      </c>
      <c r="AF3" s="104">
        <f ca="1">(BauerPhilipp!$H$50)</f>
        <v>20.5</v>
      </c>
      <c r="AG3" s="105">
        <f ca="1">(BauerPhilipp!$H$51)</f>
        <v>167.70000000000002</v>
      </c>
      <c r="AH3" s="137">
        <f t="shared" ca="1" si="0"/>
        <v>102.5</v>
      </c>
      <c r="AI3" s="150" t="s">
        <v>385</v>
      </c>
      <c r="AJ3">
        <f>(BauerPhilipp!$B$76)</f>
        <v>0</v>
      </c>
      <c r="AK3">
        <f>(BauerPhilipp!$B$77)</f>
        <v>0</v>
      </c>
      <c r="AL3">
        <f>(BauerPhilipp!$B$78)</f>
        <v>0</v>
      </c>
      <c r="AM3">
        <f>(BauerPhilipp!$B$79)</f>
        <v>0</v>
      </c>
    </row>
    <row r="4" spans="1:39" x14ac:dyDescent="0.35">
      <c r="A4" s="144">
        <v>3</v>
      </c>
      <c r="B4" s="11" t="s">
        <v>392</v>
      </c>
      <c r="C4">
        <f>(GarmannLars!$H$1)</f>
        <v>2004</v>
      </c>
      <c r="D4">
        <f>(GarmannLars!$H$2)</f>
        <v>18</v>
      </c>
      <c r="E4" t="str">
        <f>(GarmannLars!$B$2)</f>
        <v>SC Cottbus</v>
      </c>
      <c r="F4" s="98">
        <f>(GarmannLars!$H$4)</f>
        <v>10</v>
      </c>
      <c r="G4" s="98">
        <f>(GarmannLars!$H$5)</f>
        <v>6</v>
      </c>
      <c r="H4" s="98">
        <f>(GarmannLars!$H$6)</f>
        <v>10</v>
      </c>
      <c r="I4" s="98">
        <f>(GarmannLars!$H$7)</f>
        <v>5</v>
      </c>
      <c r="J4" s="98">
        <f>(GarmannLars!$H$8)</f>
        <v>5</v>
      </c>
      <c r="K4" s="98">
        <f>(GarmannLars!$H$9)</f>
        <v>36</v>
      </c>
      <c r="L4" s="98">
        <f>(GarmannLars!$H$11)</f>
        <v>10</v>
      </c>
      <c r="M4" s="98">
        <f>(GarmannLars!$H$12)</f>
        <v>10</v>
      </c>
      <c r="N4" s="98">
        <f>(GarmannLars!$H$13)</f>
        <v>4</v>
      </c>
      <c r="O4" s="98">
        <f>(GarmannLars!$H$14)</f>
        <v>10</v>
      </c>
      <c r="P4" s="98">
        <f>(GarmannLars!$H$15)</f>
        <v>10</v>
      </c>
      <c r="Q4" s="98">
        <f>(GarmannLars!$H$16)</f>
        <v>10</v>
      </c>
      <c r="R4" s="98">
        <f>(GarmannLars!$H$17)</f>
        <v>7</v>
      </c>
      <c r="S4" s="98">
        <f>(GarmannLars!$H$18)</f>
        <v>61</v>
      </c>
      <c r="T4" s="101">
        <f>(GarmannLars!$H$20)</f>
        <v>5.7999999999999829</v>
      </c>
      <c r="U4" s="98">
        <f>(GarmannLars!$H$21)</f>
        <v>0</v>
      </c>
      <c r="V4" s="98">
        <f>(GarmannLars!$H$22)</f>
        <v>0</v>
      </c>
      <c r="W4" s="98">
        <f>(GarmannLars!$H$23)</f>
        <v>0</v>
      </c>
      <c r="X4" s="98">
        <f>(GarmannLars!$H$24)</f>
        <v>16</v>
      </c>
      <c r="Y4" s="98">
        <f>(GarmannLars!$H$25)</f>
        <v>16</v>
      </c>
      <c r="Z4" s="98">
        <f>(GarmannLars!$H$26)</f>
        <v>13</v>
      </c>
      <c r="AA4" s="98">
        <f>(GarmannLars!$H$27)</f>
        <v>15</v>
      </c>
      <c r="AB4" s="98">
        <f>(GarmannLars!$H$28)</f>
        <v>13</v>
      </c>
      <c r="AC4" s="98">
        <f>(GarmannLars!$H$29)</f>
        <v>14</v>
      </c>
      <c r="AD4" s="98">
        <f>(GarmannLars!$H$35)</f>
        <v>20</v>
      </c>
      <c r="AE4" s="101">
        <f>(GarmannLars!$H$36)</f>
        <v>112.79999999999998</v>
      </c>
      <c r="AF4" s="152">
        <f ca="1">(GarmannLars!$H$50)</f>
        <v>0</v>
      </c>
      <c r="AG4" s="105">
        <f ca="1">(GarmannLars!$H$51)</f>
        <v>209.79999999999998</v>
      </c>
      <c r="AH4" s="137">
        <f t="shared" ca="1" si="0"/>
        <v>97</v>
      </c>
      <c r="AI4" s="150" t="s">
        <v>385</v>
      </c>
      <c r="AJ4">
        <f>(GarmannLars!$B$76)</f>
        <v>0</v>
      </c>
      <c r="AK4">
        <f>(GarmannLars!$B$77)</f>
        <v>0</v>
      </c>
      <c r="AL4">
        <f>(GarmannLars!$B$78)</f>
        <v>0</v>
      </c>
      <c r="AM4">
        <f>(GarmannLars!$B$79)</f>
        <v>0</v>
      </c>
    </row>
    <row r="5" spans="1:39" x14ac:dyDescent="0.35">
      <c r="A5" s="144">
        <v>4</v>
      </c>
      <c r="B5" s="11" t="s">
        <v>387</v>
      </c>
      <c r="C5">
        <f>(LeitnerTobias!$H$1)</f>
        <v>2010</v>
      </c>
      <c r="D5">
        <f>(LeitnerTobias!$H$2)</f>
        <v>12</v>
      </c>
      <c r="E5" t="str">
        <f>(LeitnerTobias!$B$2)</f>
        <v>TG Münster</v>
      </c>
      <c r="F5" s="98">
        <f>(LeitnerTobias!$H$4)</f>
        <v>10</v>
      </c>
      <c r="G5" s="98">
        <f>(LeitnerTobias!$H$5)</f>
        <v>6</v>
      </c>
      <c r="H5" s="98">
        <f>(LeitnerTobias!$H$6)</f>
        <v>6</v>
      </c>
      <c r="I5" s="98">
        <f>(LeitnerTobias!$H$7)</f>
        <v>4</v>
      </c>
      <c r="J5" s="98">
        <f>(LeitnerTobias!$H$8)</f>
        <v>3</v>
      </c>
      <c r="K5" s="98">
        <f>(LeitnerTobias!$H$9)</f>
        <v>29</v>
      </c>
      <c r="L5" s="98">
        <f>(LeitnerTobias!$H$11)</f>
        <v>10</v>
      </c>
      <c r="M5" s="98">
        <f>(LeitnerTobias!$H$12)</f>
        <v>2</v>
      </c>
      <c r="N5" s="98">
        <f>(LeitnerTobias!$H$13)</f>
        <v>2</v>
      </c>
      <c r="O5" s="98">
        <f>(LeitnerTobias!$H$14)</f>
        <v>6</v>
      </c>
      <c r="P5" s="98">
        <f>(LeitnerTobias!$H$15)</f>
        <v>9</v>
      </c>
      <c r="Q5" s="98">
        <f>(LeitnerTobias!$H$16)</f>
        <v>10</v>
      </c>
      <c r="R5" s="98">
        <f>(LeitnerTobias!$H$17)</f>
        <v>9</v>
      </c>
      <c r="S5" s="98">
        <f>(LeitnerTobias!$H$18)</f>
        <v>48</v>
      </c>
      <c r="T5" s="101">
        <f>(LeitnerTobias!$H$20)</f>
        <v>6.5000000000000036</v>
      </c>
      <c r="U5" s="98">
        <f>(LeitnerTobias!$H$21)</f>
        <v>5</v>
      </c>
      <c r="V5" s="98">
        <f>(LeitnerTobias!$H$22)</f>
        <v>6</v>
      </c>
      <c r="W5" s="98">
        <f>(LeitnerTobias!$H$23)</f>
        <v>0</v>
      </c>
      <c r="X5" s="98">
        <f>(LeitnerTobias!$H$24)</f>
        <v>8</v>
      </c>
      <c r="Y5" s="98">
        <f>(LeitnerTobias!$H$25)</f>
        <v>9</v>
      </c>
      <c r="Z5" s="98">
        <f>(LeitnerTobias!$H$26)</f>
        <v>9</v>
      </c>
      <c r="AA5" s="98">
        <f>(LeitnerTobias!$H$27)</f>
        <v>9</v>
      </c>
      <c r="AB5" s="98">
        <f>(LeitnerTobias!$H$28)</f>
        <v>0</v>
      </c>
      <c r="AC5" s="98">
        <f>(LeitnerTobias!$H$29)</f>
        <v>0</v>
      </c>
      <c r="AD5" s="98">
        <f>(LeitnerTobias!$H$35)</f>
        <v>18</v>
      </c>
      <c r="AE5" s="101">
        <f>(LeitnerTobias!$H$36)</f>
        <v>70.5</v>
      </c>
      <c r="AF5" s="104">
        <f ca="1">(LeitnerTobias!$H$50)</f>
        <v>16.5</v>
      </c>
      <c r="AG5" s="105">
        <f ca="1">(LeitnerTobias!$H$51)</f>
        <v>164</v>
      </c>
      <c r="AH5" s="137">
        <f t="shared" ca="1" si="0"/>
        <v>93.5</v>
      </c>
      <c r="AI5" s="150" t="s">
        <v>385</v>
      </c>
      <c r="AJ5">
        <f>(LeitnerTobias!$B$76)</f>
        <v>0</v>
      </c>
      <c r="AK5">
        <f>(LeitnerTobias!$B$77)</f>
        <v>0</v>
      </c>
      <c r="AL5">
        <f>(LeitnerTobias!$B$78)</f>
        <v>0</v>
      </c>
      <c r="AM5">
        <f>(LeitnerTobias!$B$79)</f>
        <v>0</v>
      </c>
    </row>
    <row r="6" spans="1:39" x14ac:dyDescent="0.35">
      <c r="A6" s="144">
        <v>5</v>
      </c>
      <c r="B6" s="11" t="s">
        <v>365</v>
      </c>
      <c r="C6">
        <f>(StrieseHendrik!$H$1)</f>
        <v>2007</v>
      </c>
      <c r="D6">
        <f>(StrieseHendrik!$H$2)</f>
        <v>15</v>
      </c>
      <c r="E6" t="str">
        <f>(StrieseHendrik!$B$2)</f>
        <v>TGJ Salzgitter</v>
      </c>
      <c r="F6" s="98">
        <f>(StrieseHendrik!$H$4)</f>
        <v>10</v>
      </c>
      <c r="G6" s="98">
        <f>(StrieseHendrik!$H$5)</f>
        <v>6</v>
      </c>
      <c r="H6" s="98">
        <f>(StrieseHendrik!$H$6)</f>
        <v>10</v>
      </c>
      <c r="I6" s="98">
        <f>(StrieseHendrik!$H$7)</f>
        <v>5</v>
      </c>
      <c r="J6" s="98">
        <f>(StrieseHendrik!$H$8)</f>
        <v>5</v>
      </c>
      <c r="K6" s="98">
        <f>(StrieseHendrik!$H$9)</f>
        <v>36</v>
      </c>
      <c r="L6" s="98">
        <f>(StrieseHendrik!$H$11)</f>
        <v>1</v>
      </c>
      <c r="M6" s="98">
        <f>(StrieseHendrik!$H$12)</f>
        <v>0</v>
      </c>
      <c r="N6" s="98">
        <f>(StrieseHendrik!$H$13)</f>
        <v>6</v>
      </c>
      <c r="O6" s="98">
        <f>(StrieseHendrik!$H$14)</f>
        <v>10</v>
      </c>
      <c r="P6" s="98">
        <f>(StrieseHendrik!$H$15)</f>
        <v>9</v>
      </c>
      <c r="Q6" s="98">
        <f>(StrieseHendrik!$H$16)</f>
        <v>0</v>
      </c>
      <c r="R6" s="98">
        <f>(StrieseHendrik!$H$17)</f>
        <v>6</v>
      </c>
      <c r="S6" s="98">
        <f>(StrieseHendrik!$H$18)</f>
        <v>32</v>
      </c>
      <c r="T6" s="101">
        <f>(StrieseHendrik!$H$20)</f>
        <v>-9.1999999999999815</v>
      </c>
      <c r="U6" s="98">
        <f ca="1">(StrieseHendrik!$H$21)</f>
        <v>6</v>
      </c>
      <c r="V6" s="98">
        <f>(StrieseHendrik!$H$22)</f>
        <v>8</v>
      </c>
      <c r="W6" s="98">
        <f>(StrieseHendrik!$H$23)</f>
        <v>0</v>
      </c>
      <c r="X6" s="98">
        <f>(StrieseHendrik!$H$24)</f>
        <v>11</v>
      </c>
      <c r="Y6" s="98">
        <f>(StrieseHendrik!$H$25)</f>
        <v>8</v>
      </c>
      <c r="Z6" s="98">
        <f>(StrieseHendrik!$H$26)</f>
        <v>9</v>
      </c>
      <c r="AA6" s="98">
        <f>(StrieseHendrik!$H$27)</f>
        <v>10</v>
      </c>
      <c r="AB6" s="98">
        <f>(StrieseHendrik!$H$28)</f>
        <v>0</v>
      </c>
      <c r="AC6" s="98">
        <f>(StrieseHendrik!$H$29)</f>
        <v>0</v>
      </c>
      <c r="AD6" s="98">
        <f>(StrieseHendrik!$H$35)</f>
        <v>20</v>
      </c>
      <c r="AE6" s="101">
        <f ca="1">(StrieseHendrik!$H$36)</f>
        <v>62.800000000000018</v>
      </c>
      <c r="AF6" s="104">
        <f ca="1">(StrieseHendrik!$H$50)</f>
        <v>23.5</v>
      </c>
      <c r="AG6" s="105">
        <f ca="1">(StrieseHendrik!$H$51)</f>
        <v>154.30000000000001</v>
      </c>
      <c r="AH6" s="137">
        <f t="shared" ca="1" si="0"/>
        <v>91.5</v>
      </c>
      <c r="AI6" s="150" t="s">
        <v>385</v>
      </c>
    </row>
    <row r="7" spans="1:39" x14ac:dyDescent="0.35">
      <c r="A7" s="144">
        <v>6</v>
      </c>
      <c r="B7" s="11" t="s">
        <v>398</v>
      </c>
      <c r="C7">
        <f>(RöslerManuel!$H$1)</f>
        <v>2002</v>
      </c>
      <c r="D7">
        <f>(RöslerManuel!$H$2)</f>
        <v>20</v>
      </c>
      <c r="E7" t="str">
        <f>(RöslerManuel!$B$2)</f>
        <v>MTV Stuttgart</v>
      </c>
      <c r="F7" s="98">
        <f>(RöslerManuel!$H$4)</f>
        <v>6</v>
      </c>
      <c r="G7" s="98">
        <f>(RöslerManuel!$H$5)</f>
        <v>6</v>
      </c>
      <c r="H7" s="98">
        <f>(RöslerManuel!$H$6)</f>
        <v>0</v>
      </c>
      <c r="I7" s="98">
        <f>(RöslerManuel!$H$7)</f>
        <v>4</v>
      </c>
      <c r="J7" s="98">
        <f>(RöslerManuel!$H$8)</f>
        <v>5</v>
      </c>
      <c r="K7" s="98">
        <f>(RöslerManuel!$H$9)</f>
        <v>21</v>
      </c>
      <c r="L7" s="98">
        <f>(RöslerManuel!$H$11)</f>
        <v>10</v>
      </c>
      <c r="M7" s="98">
        <f>(RöslerManuel!$H$12)</f>
        <v>10</v>
      </c>
      <c r="N7" s="98">
        <f>(RöslerManuel!$H$13)</f>
        <v>10</v>
      </c>
      <c r="O7" s="98">
        <f>(RöslerManuel!$H$14)</f>
        <v>7</v>
      </c>
      <c r="P7" s="98">
        <f>(RöslerManuel!$H$15)</f>
        <v>10</v>
      </c>
      <c r="Q7" s="98">
        <f>(RöslerManuel!$H$16)</f>
        <v>10</v>
      </c>
      <c r="R7" s="98">
        <f>(RöslerManuel!$H$17)</f>
        <v>8</v>
      </c>
      <c r="S7" s="98">
        <f>(RöslerManuel!$H$18)</f>
        <v>65</v>
      </c>
      <c r="T7" s="101">
        <f>(RöslerManuel!$H$20)</f>
        <v>9.3999999999999773</v>
      </c>
      <c r="U7" s="98">
        <f>(RöslerManuel!$H$21)</f>
        <v>0</v>
      </c>
      <c r="V7" s="98">
        <f>(RöslerManuel!$H$22)</f>
        <v>0</v>
      </c>
      <c r="W7" s="98">
        <f>(RöslerManuel!$H$23)</f>
        <v>0</v>
      </c>
      <c r="X7" s="98">
        <f>(RöslerManuel!$H$24)</f>
        <v>0</v>
      </c>
      <c r="Y7" s="98">
        <f>(RöslerManuel!$H$25)</f>
        <v>0</v>
      </c>
      <c r="Z7" s="98">
        <f>(RöslerManuel!$H$26)</f>
        <v>0</v>
      </c>
      <c r="AA7" s="98">
        <f>(RöslerManuel!$H$27)</f>
        <v>0</v>
      </c>
      <c r="AB7" s="98">
        <f>(RöslerManuel!$H$28)</f>
        <v>0</v>
      </c>
      <c r="AC7" s="98">
        <f>(RöslerManuel!$H$29)</f>
        <v>0</v>
      </c>
      <c r="AD7" s="98">
        <f>(RöslerManuel!$H$35)</f>
        <v>0</v>
      </c>
      <c r="AE7" s="153">
        <f>(RöslerManuel!$H$36)</f>
        <v>9.3999999999999773</v>
      </c>
      <c r="AF7" s="152">
        <f ca="1">(RöslerManuel!$H$50)</f>
        <v>0</v>
      </c>
      <c r="AG7" s="105">
        <f ca="1">(RöslerManuel!$H$51)</f>
        <v>95.399999999999977</v>
      </c>
      <c r="AH7" s="137">
        <f t="shared" ca="1" si="0"/>
        <v>86</v>
      </c>
      <c r="AI7" s="150" t="s">
        <v>385</v>
      </c>
      <c r="AJ7">
        <f>(RöslerManuel!$B$76)</f>
        <v>0</v>
      </c>
      <c r="AK7">
        <f>(RöslerManuel!$B$77)</f>
        <v>0</v>
      </c>
      <c r="AL7">
        <f>(RöslerManuel!$B$78)</f>
        <v>0</v>
      </c>
      <c r="AM7">
        <f>(RöslerManuel!$B$79)</f>
        <v>0</v>
      </c>
    </row>
    <row r="8" spans="1:39" x14ac:dyDescent="0.35">
      <c r="A8" s="144">
        <v>7</v>
      </c>
      <c r="B8" s="11" t="s">
        <v>400</v>
      </c>
      <c r="C8">
        <f>(FeyhMiguel!$H$1)</f>
        <v>2005</v>
      </c>
      <c r="D8">
        <f>(FeyhMiguel!$H$2)</f>
        <v>17</v>
      </c>
      <c r="E8" t="str">
        <f>(FeyhMiguel!$B$2)</f>
        <v>DTV Die Känguruh</v>
      </c>
      <c r="F8" s="98">
        <f>(FeyhMiguel!$H$4)</f>
        <v>10</v>
      </c>
      <c r="G8" s="98">
        <f>(FeyhMiguel!$H$5)</f>
        <v>6</v>
      </c>
      <c r="H8" s="98">
        <f>(FeyhMiguel!$H$6)</f>
        <v>10</v>
      </c>
      <c r="I8" s="98">
        <f>(FeyhMiguel!$H$7)</f>
        <v>3</v>
      </c>
      <c r="J8" s="98">
        <f>(FeyhMiguel!$H$8)</f>
        <v>4</v>
      </c>
      <c r="K8" s="98">
        <f>(FeyhMiguel!$H$9)</f>
        <v>33</v>
      </c>
      <c r="L8" s="98">
        <f>(FeyhMiguel!$H$11)</f>
        <v>10</v>
      </c>
      <c r="M8" s="98">
        <f>(FeyhMiguel!$H$12)</f>
        <v>10</v>
      </c>
      <c r="N8" s="98">
        <f>(FeyhMiguel!$H$13)</f>
        <v>0</v>
      </c>
      <c r="O8" s="98">
        <f>(FeyhMiguel!$H$14)</f>
        <v>10</v>
      </c>
      <c r="P8" s="98">
        <f>(FeyhMiguel!$H$15)</f>
        <v>8</v>
      </c>
      <c r="Q8" s="98">
        <f>(FeyhMiguel!$H$16)</f>
        <v>10</v>
      </c>
      <c r="R8" s="98">
        <f>(FeyhMiguel!$H$17)</f>
        <v>0</v>
      </c>
      <c r="S8" s="98">
        <f>(FeyhMiguel!$H$18)</f>
        <v>48</v>
      </c>
      <c r="T8" s="101">
        <f>(FeyhMiguel!$H$20)</f>
        <v>4.7000000000000242</v>
      </c>
      <c r="U8" s="98">
        <f>(FeyhMiguel!$H$21)</f>
        <v>0</v>
      </c>
      <c r="V8" s="98">
        <f>(FeyhMiguel!$H$22)</f>
        <v>0</v>
      </c>
      <c r="W8" s="98">
        <f>(FeyhMiguel!$H$23)</f>
        <v>0</v>
      </c>
      <c r="X8" s="98">
        <f>(FeyhMiguel!$H$24)</f>
        <v>14</v>
      </c>
      <c r="Y8" s="98">
        <f>(FeyhMiguel!$H$25)</f>
        <v>18</v>
      </c>
      <c r="Z8" s="98">
        <f>(FeyhMiguel!$H$26)</f>
        <v>13</v>
      </c>
      <c r="AA8" s="98">
        <f>(FeyhMiguel!$H$27)</f>
        <v>14</v>
      </c>
      <c r="AB8" s="98">
        <f>(FeyhMiguel!$H$28)</f>
        <v>12</v>
      </c>
      <c r="AC8" s="98">
        <f>(FeyhMiguel!$H$29)</f>
        <v>14</v>
      </c>
      <c r="AD8" s="98">
        <f>(FeyhMiguel!$H$35)</f>
        <v>22</v>
      </c>
      <c r="AE8" s="101">
        <f>(FeyhMiguel!$H$36)</f>
        <v>111.70000000000002</v>
      </c>
      <c r="AF8" s="152">
        <f ca="1">(FeyhMiguel!$H$50)</f>
        <v>0</v>
      </c>
      <c r="AG8" s="105">
        <f ca="1">(FeyhMiguel!$H$51)</f>
        <v>192.70000000000002</v>
      </c>
      <c r="AH8" s="137">
        <f t="shared" ca="1" si="0"/>
        <v>81</v>
      </c>
      <c r="AI8" s="150" t="s">
        <v>385</v>
      </c>
      <c r="AJ8">
        <f>(FeyhMiguel!$B$76)</f>
        <v>0</v>
      </c>
      <c r="AK8">
        <f>(FeyhMiguel!$B$77)</f>
        <v>0</v>
      </c>
      <c r="AL8">
        <f>(FeyhMiguel!$B$78)</f>
        <v>0</v>
      </c>
      <c r="AM8">
        <f>(FeyhMiguel!$B$79)</f>
        <v>0</v>
      </c>
    </row>
    <row r="9" spans="1:39" x14ac:dyDescent="0.35">
      <c r="A9" s="144">
        <v>8</v>
      </c>
      <c r="B9" s="11" t="s">
        <v>389</v>
      </c>
      <c r="C9">
        <f>(LeitnerMichael!$H$1)</f>
        <v>2010</v>
      </c>
      <c r="D9">
        <f>(LeitnerMichael!$H$2)</f>
        <v>12</v>
      </c>
      <c r="E9" t="str">
        <f>(LeitnerMichael!$B$2)</f>
        <v>TG Münster</v>
      </c>
      <c r="F9" s="98">
        <f>(LeitnerMichael!$H$4)</f>
        <v>10</v>
      </c>
      <c r="G9" s="98">
        <f>(LeitnerMichael!$H$5)</f>
        <v>6</v>
      </c>
      <c r="H9" s="98">
        <f>(LeitnerMichael!$H$6)</f>
        <v>6</v>
      </c>
      <c r="I9" s="98">
        <f>(LeitnerMichael!$H$7)</f>
        <v>3</v>
      </c>
      <c r="J9" s="98">
        <f>(LeitnerMichael!$H$8)</f>
        <v>4</v>
      </c>
      <c r="K9" s="98">
        <f>(LeitnerMichael!$H$9)</f>
        <v>29</v>
      </c>
      <c r="L9" s="98">
        <f>(LeitnerMichael!$H$11)</f>
        <v>5</v>
      </c>
      <c r="M9" s="98">
        <f>(LeitnerMichael!$H$12)</f>
        <v>0</v>
      </c>
      <c r="N9" s="98">
        <f>(LeitnerMichael!$H$13)</f>
        <v>10</v>
      </c>
      <c r="O9" s="98">
        <f>(LeitnerMichael!$H$14)</f>
        <v>0</v>
      </c>
      <c r="P9" s="98">
        <f>(LeitnerMichael!$H$15)</f>
        <v>0</v>
      </c>
      <c r="Q9" s="98">
        <f>(LeitnerMichael!$H$16)</f>
        <v>10</v>
      </c>
      <c r="R9" s="98">
        <f>(LeitnerMichael!$H$17)</f>
        <v>0</v>
      </c>
      <c r="S9" s="98">
        <f>(LeitnerMichael!$H$18)</f>
        <v>25</v>
      </c>
      <c r="T9" s="101">
        <f>(LeitnerMichael!$H$20)</f>
        <v>4.0499999999999936</v>
      </c>
      <c r="U9" s="98">
        <f>(LeitnerMichael!$H$21)</f>
        <v>5</v>
      </c>
      <c r="V9" s="98">
        <f>(LeitnerMichael!$H$22)</f>
        <v>3</v>
      </c>
      <c r="W9" s="98">
        <f>(LeitnerMichael!$H$23)</f>
        <v>0</v>
      </c>
      <c r="X9" s="98">
        <f>(LeitnerMichael!$H$24)</f>
        <v>8</v>
      </c>
      <c r="Y9" s="98">
        <f>(LeitnerMichael!$H$25)</f>
        <v>8</v>
      </c>
      <c r="Z9" s="98">
        <f>(LeitnerMichael!$H$26)</f>
        <v>7</v>
      </c>
      <c r="AA9" s="98">
        <f>(LeitnerMichael!$H$27)</f>
        <v>9</v>
      </c>
      <c r="AB9" s="98">
        <f>(LeitnerMichael!$H$28)</f>
        <v>0</v>
      </c>
      <c r="AC9" s="98">
        <f>(LeitnerMichael!$H$29)</f>
        <v>0</v>
      </c>
      <c r="AD9" s="145">
        <f>(LeitnerMichael!$H$35)</f>
        <v>30</v>
      </c>
      <c r="AE9" s="101">
        <f>(LeitnerMichael!$H$36)</f>
        <v>74.05</v>
      </c>
      <c r="AF9" s="104">
        <f ca="1">(LeitnerMichael!$H$50)</f>
        <v>14</v>
      </c>
      <c r="AG9" s="105">
        <f ca="1">(LeitnerMichael!$H$51)</f>
        <v>142.05000000000001</v>
      </c>
      <c r="AH9" s="137">
        <f t="shared" ca="1" si="0"/>
        <v>68</v>
      </c>
      <c r="AI9" s="151" t="s">
        <v>386</v>
      </c>
      <c r="AJ9">
        <f>(LeitnerMichael!$B$76)</f>
        <v>0</v>
      </c>
      <c r="AK9">
        <f>(LeitnerMichael!$B$77)</f>
        <v>0</v>
      </c>
      <c r="AL9">
        <f>(LeitnerMichael!$B$78)</f>
        <v>0</v>
      </c>
      <c r="AM9">
        <f>(LeitnerMichael!$B$79)</f>
        <v>0</v>
      </c>
    </row>
    <row r="10" spans="1:39" x14ac:dyDescent="0.35">
      <c r="A10" s="144">
        <v>10</v>
      </c>
      <c r="AH10" s="137">
        <f t="shared" si="0"/>
        <v>0</v>
      </c>
    </row>
    <row r="11" spans="1:39" x14ac:dyDescent="0.35">
      <c r="A11" s="144">
        <v>11</v>
      </c>
      <c r="AH11" s="137">
        <f t="shared" si="0"/>
        <v>0</v>
      </c>
    </row>
    <row r="12" spans="1:39" x14ac:dyDescent="0.35">
      <c r="A12" s="144">
        <v>12</v>
      </c>
      <c r="AH12" s="137">
        <f t="shared" si="0"/>
        <v>0</v>
      </c>
    </row>
    <row r="13" spans="1:39" x14ac:dyDescent="0.35">
      <c r="A13" s="144">
        <v>13</v>
      </c>
      <c r="AH13" s="137">
        <f t="shared" si="0"/>
        <v>0</v>
      </c>
    </row>
    <row r="14" spans="1:39" x14ac:dyDescent="0.35">
      <c r="A14" s="144">
        <v>14</v>
      </c>
      <c r="AH14" s="137">
        <f t="shared" si="0"/>
        <v>0</v>
      </c>
    </row>
    <row r="15" spans="1:39" x14ac:dyDescent="0.35">
      <c r="A15" s="144">
        <v>15</v>
      </c>
      <c r="AH15" s="137">
        <f t="shared" si="0"/>
        <v>0</v>
      </c>
    </row>
    <row r="16" spans="1:39" x14ac:dyDescent="0.35">
      <c r="A16" s="144">
        <v>16</v>
      </c>
      <c r="AH16" s="137">
        <f t="shared" si="0"/>
        <v>0</v>
      </c>
    </row>
    <row r="17" spans="1:34" x14ac:dyDescent="0.35">
      <c r="A17" s="144">
        <v>17</v>
      </c>
      <c r="AH17" s="137">
        <f t="shared" si="0"/>
        <v>0</v>
      </c>
    </row>
    <row r="18" spans="1:34" x14ac:dyDescent="0.35">
      <c r="A18" s="144">
        <v>18</v>
      </c>
      <c r="AH18" s="137">
        <f t="shared" si="0"/>
        <v>0</v>
      </c>
    </row>
    <row r="19" spans="1:34" x14ac:dyDescent="0.35">
      <c r="A19" s="144">
        <v>19</v>
      </c>
      <c r="AH19" s="137">
        <f t="shared" si="0"/>
        <v>0</v>
      </c>
    </row>
    <row r="20" spans="1:34" x14ac:dyDescent="0.35">
      <c r="AH20" s="137">
        <f t="shared" si="0"/>
        <v>0</v>
      </c>
    </row>
    <row r="21" spans="1:34" x14ac:dyDescent="0.35">
      <c r="AH21" s="137"/>
    </row>
    <row r="22" spans="1:34" x14ac:dyDescent="0.35">
      <c r="AH22" s="137"/>
    </row>
    <row r="23" spans="1:34" x14ac:dyDescent="0.35">
      <c r="AH23" s="137"/>
    </row>
  </sheetData>
  <sheetProtection autoFilter="0"/>
  <autoFilter ref="A1:AM23" xr:uid="{00000000-0001-0000-0200-000000000000}">
    <sortState xmlns:xlrd2="http://schemas.microsoft.com/office/spreadsheetml/2017/richdata2" ref="A2:AM23">
      <sortCondition descending="1" ref="AH1:AH23"/>
    </sortState>
  </autoFilter>
  <sortState xmlns:xlrd2="http://schemas.microsoft.com/office/spreadsheetml/2017/richdata2" ref="A2:AI24">
    <sortCondition descending="1" ref="C2:C24"/>
    <sortCondition descending="1" ref="AH2:AH24"/>
  </sortState>
  <hyperlinks>
    <hyperlink ref="B6" location="StrieseHendrik!A1" display="Striese, Hendrik" xr:uid="{7A9938EF-0115-419B-A7FB-DD0A3B282F9F}"/>
    <hyperlink ref="B5" location="LeitnerTobias!A1" display="Leitner, Tobias" xr:uid="{C0D13847-7B0D-4747-AE64-8F71FEDF4A58}"/>
    <hyperlink ref="B9" location="LeitnerMichael!A1" display="Leitner, Michael" xr:uid="{86A40AA0-0E0D-4720-ABE6-18BD775A4F37}"/>
    <hyperlink ref="B3" location="BauerPhilipp!A1" display="Bauer, Philipp" xr:uid="{910C5472-B5DF-411C-84A8-41A7D20267EB}"/>
    <hyperlink ref="B4" location="GarmannLars!A1" display="Garmann, Lars" xr:uid="{C301577D-640C-49A9-9D75-84D9BB72EE57}"/>
    <hyperlink ref="B2" location="BraunJanis!A1" display="Braun, Janis" xr:uid="{030C7472-1910-4CBF-9403-CD1049B9598C}"/>
    <hyperlink ref="B7" location="RöslerManuel!A1" display="Rösler, Manuel" xr:uid="{909881FD-5533-413B-8BF0-23A575489898}"/>
    <hyperlink ref="B8" location="FeyhMiguel!A1" display="Feyh, Miguel" xr:uid="{51414162-9BF9-47E7-B751-AA438F8B2396}"/>
  </hyperlinks>
  <pageMargins left="0.7" right="0.7" top="0.78740157499999996" bottom="0.78740157499999996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B8406-7494-47F4-9149-9B0A047D2688}">
  <sheetPr codeName="Tabelle36">
    <tabColor indexed="44"/>
    <pageSetUpPr fitToPage="1"/>
  </sheetPr>
  <dimension ref="A1:J70"/>
  <sheetViews>
    <sheetView zoomScale="85" zoomScaleNormal="85" workbookViewId="0">
      <pane ySplit="2" topLeftCell="A31" activePane="bottomLeft" state="frozen"/>
      <selection sqref="A1:H1"/>
      <selection pane="bottomLeft" activeCell="D19" sqref="D19"/>
    </sheetView>
  </sheetViews>
  <sheetFormatPr baseColWidth="10" defaultColWidth="0" defaultRowHeight="14.5" zeroHeight="1" outlineLevelRow="1" x14ac:dyDescent="0.35"/>
  <cols>
    <col min="1" max="1" width="11.453125" customWidth="1"/>
    <col min="2" max="2" width="12.1796875" customWidth="1"/>
    <col min="3" max="3" width="44.81640625" bestFit="1" customWidth="1"/>
    <col min="4" max="5" width="11.453125" style="154" customWidth="1"/>
    <col min="6" max="6" width="16.1796875" style="154" bestFit="1" customWidth="1"/>
    <col min="7" max="7" width="13.81640625" style="154" customWidth="1"/>
    <col min="8" max="8" width="11.453125" customWidth="1"/>
    <col min="9" max="9" width="6.1796875" style="23" hidden="1" customWidth="1"/>
    <col min="10" max="10" width="0" hidden="1" customWidth="1"/>
    <col min="11" max="16384" width="11.453125" hidden="1"/>
  </cols>
  <sheetData>
    <row r="1" spans="1:8" ht="15.5" x14ac:dyDescent="0.35">
      <c r="A1" s="16" t="s">
        <v>1</v>
      </c>
      <c r="B1" s="186" t="s">
        <v>400</v>
      </c>
      <c r="C1" s="187"/>
      <c r="D1" s="187"/>
      <c r="E1" s="188"/>
      <c r="F1" s="51" t="s">
        <v>96</v>
      </c>
      <c r="G1" s="61" t="s">
        <v>24</v>
      </c>
      <c r="H1" s="63">
        <v>2005</v>
      </c>
    </row>
    <row r="2" spans="1:8" ht="16" thickBot="1" x14ac:dyDescent="0.4">
      <c r="A2" s="17" t="s">
        <v>4</v>
      </c>
      <c r="B2" s="198" t="s">
        <v>401</v>
      </c>
      <c r="C2" s="199"/>
      <c r="D2" s="199"/>
      <c r="E2" s="199"/>
      <c r="F2" s="200"/>
      <c r="G2" s="62" t="s">
        <v>3</v>
      </c>
      <c r="H2" s="64">
        <f>2022-H1</f>
        <v>17</v>
      </c>
    </row>
    <row r="3" spans="1:8" ht="15" outlineLevel="1" thickBot="1" x14ac:dyDescent="0.4">
      <c r="A3" s="189" t="s">
        <v>26</v>
      </c>
      <c r="B3" s="190"/>
      <c r="C3" s="190"/>
      <c r="D3" s="190"/>
      <c r="E3" s="191"/>
      <c r="F3" s="46" t="s">
        <v>27</v>
      </c>
      <c r="G3" s="47" t="s">
        <v>28</v>
      </c>
      <c r="H3" s="22" t="s">
        <v>234</v>
      </c>
    </row>
    <row r="4" spans="1:8" outlineLevel="1" x14ac:dyDescent="0.35">
      <c r="A4" s="192" t="s">
        <v>30</v>
      </c>
      <c r="B4" s="193"/>
      <c r="C4" s="193"/>
      <c r="D4" s="193"/>
      <c r="E4" s="194"/>
      <c r="F4" s="25">
        <v>10</v>
      </c>
      <c r="G4" s="55" t="s">
        <v>32</v>
      </c>
      <c r="H4" s="34">
        <f>F4</f>
        <v>10</v>
      </c>
    </row>
    <row r="5" spans="1:8" outlineLevel="1" x14ac:dyDescent="0.35">
      <c r="A5" s="195" t="s">
        <v>85</v>
      </c>
      <c r="B5" s="196"/>
      <c r="C5" s="196"/>
      <c r="D5" s="196"/>
      <c r="E5" s="197"/>
      <c r="F5" s="14">
        <v>6</v>
      </c>
      <c r="G5" s="56" t="s">
        <v>32</v>
      </c>
      <c r="H5" s="35">
        <f>F5</f>
        <v>6</v>
      </c>
    </row>
    <row r="6" spans="1:8" outlineLevel="1" x14ac:dyDescent="0.35">
      <c r="A6" s="195" t="s">
        <v>33</v>
      </c>
      <c r="B6" s="196"/>
      <c r="C6" s="196"/>
      <c r="D6" s="196"/>
      <c r="E6" s="197"/>
      <c r="F6" s="14">
        <v>20</v>
      </c>
      <c r="G6" s="56" t="s">
        <v>31</v>
      </c>
      <c r="H6" s="35">
        <f>IF(F6="",0,VLOOKUP(F6,Punktetabellen!A10:B15,2,1))</f>
        <v>10</v>
      </c>
    </row>
    <row r="7" spans="1:8" outlineLevel="1" x14ac:dyDescent="0.35">
      <c r="A7" s="195" t="s">
        <v>34</v>
      </c>
      <c r="B7" s="196"/>
      <c r="C7" s="196"/>
      <c r="D7" s="196"/>
      <c r="E7" s="197"/>
      <c r="F7" s="14" t="s">
        <v>87</v>
      </c>
      <c r="G7" s="56" t="s">
        <v>31</v>
      </c>
      <c r="H7" s="35">
        <f>IF(F7="",0,VLOOKUP(F7,Punktetabellen!A3:B6,2,0))</f>
        <v>3</v>
      </c>
    </row>
    <row r="8" spans="1:8" ht="15" outlineLevel="1" thickBot="1" x14ac:dyDescent="0.4">
      <c r="A8" s="204" t="s">
        <v>35</v>
      </c>
      <c r="B8" s="205"/>
      <c r="C8" s="205"/>
      <c r="D8" s="205"/>
      <c r="E8" s="206"/>
      <c r="F8" s="41" t="s">
        <v>86</v>
      </c>
      <c r="G8" s="57" t="s">
        <v>31</v>
      </c>
      <c r="H8" s="36">
        <f>IF(F8="",0,VLOOKUP(F8,Punktetabellen!A3:B6,2,0))</f>
        <v>4</v>
      </c>
    </row>
    <row r="9" spans="1:8" ht="15" thickBot="1" x14ac:dyDescent="0.4">
      <c r="A9" s="210" t="s">
        <v>36</v>
      </c>
      <c r="B9" s="211"/>
      <c r="C9" s="211"/>
      <c r="D9" s="211"/>
      <c r="E9" s="211"/>
      <c r="F9" s="211"/>
      <c r="G9" s="211"/>
      <c r="H9" s="48">
        <f>SUM(H4:H8)</f>
        <v>33</v>
      </c>
    </row>
    <row r="10" spans="1:8" ht="15" outlineLevel="1" thickBot="1" x14ac:dyDescent="0.4">
      <c r="A10" s="189" t="s">
        <v>26</v>
      </c>
      <c r="B10" s="190"/>
      <c r="C10" s="190"/>
      <c r="D10" s="190"/>
      <c r="E10" s="191"/>
      <c r="F10" s="46" t="s">
        <v>27</v>
      </c>
      <c r="G10" s="47" t="s">
        <v>28</v>
      </c>
      <c r="H10" s="22" t="s">
        <v>234</v>
      </c>
    </row>
    <row r="11" spans="1:8" outlineLevel="1" x14ac:dyDescent="0.35">
      <c r="A11" s="207" t="s">
        <v>37</v>
      </c>
      <c r="B11" s="208"/>
      <c r="C11" s="208"/>
      <c r="D11" s="208"/>
      <c r="E11" s="209"/>
      <c r="F11" s="26">
        <v>15</v>
      </c>
      <c r="G11" s="58" t="s">
        <v>31</v>
      </c>
      <c r="H11" s="37">
        <f>IF($F11="",0,VLOOKUP($F11,Pkte_Klimmzug[],$H$2,1))</f>
        <v>10</v>
      </c>
    </row>
    <row r="12" spans="1:8" outlineLevel="1" x14ac:dyDescent="0.35">
      <c r="A12" s="201" t="s">
        <v>38</v>
      </c>
      <c r="B12" s="202"/>
      <c r="C12" s="202"/>
      <c r="D12" s="202"/>
      <c r="E12" s="203"/>
      <c r="F12" s="27">
        <v>15</v>
      </c>
      <c r="G12" s="59" t="s">
        <v>31</v>
      </c>
      <c r="H12" s="38">
        <f>IF($F12="",0,VLOOKUP($F12,Pkte_Beinheben[],$H$2,1))</f>
        <v>10</v>
      </c>
    </row>
    <row r="13" spans="1:8" outlineLevel="1" x14ac:dyDescent="0.35">
      <c r="A13" s="201" t="s">
        <v>88</v>
      </c>
      <c r="B13" s="202"/>
      <c r="C13" s="202"/>
      <c r="D13" s="202"/>
      <c r="E13" s="203"/>
      <c r="F13" s="27">
        <v>30</v>
      </c>
      <c r="G13" s="59" t="s">
        <v>31</v>
      </c>
      <c r="H13" s="38">
        <f>IF($F13="",0,VLOOKUP($F13,Pkte_Flieger[],$H$2,1))</f>
        <v>0</v>
      </c>
    </row>
    <row r="14" spans="1:8" outlineLevel="1" x14ac:dyDescent="0.35">
      <c r="A14" s="201" t="s">
        <v>39</v>
      </c>
      <c r="B14" s="202"/>
      <c r="C14" s="202"/>
      <c r="D14" s="202"/>
      <c r="E14" s="203"/>
      <c r="F14" s="27">
        <v>29</v>
      </c>
      <c r="G14" s="59" t="s">
        <v>31</v>
      </c>
      <c r="H14" s="38">
        <f>IF($F14="",0,VLOOKUP($F14,Pkte_Rollenverbindung[],$H$2,1))</f>
        <v>10</v>
      </c>
    </row>
    <row r="15" spans="1:8" outlineLevel="1" x14ac:dyDescent="0.35">
      <c r="A15" s="201" t="s">
        <v>89</v>
      </c>
      <c r="B15" s="202"/>
      <c r="C15" s="202"/>
      <c r="D15" s="202"/>
      <c r="E15" s="203"/>
      <c r="F15" s="27">
        <v>8</v>
      </c>
      <c r="G15" s="59" t="s">
        <v>31</v>
      </c>
      <c r="H15" s="38">
        <f>IF($F15="",0,VLOOKUP($F15,Pkte_Prellsprung[],$H$2,1))</f>
        <v>8</v>
      </c>
    </row>
    <row r="16" spans="1:8" outlineLevel="1" x14ac:dyDescent="0.35">
      <c r="A16" s="201" t="s">
        <v>90</v>
      </c>
      <c r="B16" s="202"/>
      <c r="C16" s="202"/>
      <c r="D16" s="202"/>
      <c r="E16" s="203"/>
      <c r="F16" s="28">
        <v>30</v>
      </c>
      <c r="G16" s="59" t="s">
        <v>31</v>
      </c>
      <c r="H16" s="38">
        <f>IF($F16="",0,VLOOKUP($F16,Pkte_Handstand[],$H$2,1))</f>
        <v>10</v>
      </c>
    </row>
    <row r="17" spans="1:8" ht="15" outlineLevel="1" thickBot="1" x14ac:dyDescent="0.4">
      <c r="A17" s="112" t="s">
        <v>93</v>
      </c>
      <c r="B17" s="113"/>
      <c r="C17" s="114" t="s">
        <v>269</v>
      </c>
      <c r="D17" s="29">
        <v>8</v>
      </c>
      <c r="E17" s="115" t="s">
        <v>270</v>
      </c>
      <c r="F17" s="29">
        <v>1</v>
      </c>
      <c r="G17" s="60" t="s">
        <v>31</v>
      </c>
      <c r="H17" s="39">
        <f>IF($F17="",0,IF($F$1="weiblich",VLOOKUP((100*$D17+$F17),Pkte_Shuttle_W[],$H$2,1),VLOOKUP((100*$D17+$F17),Pkte_Shuttle_M[],$H$2,1)))</f>
        <v>0</v>
      </c>
    </row>
    <row r="18" spans="1:8" ht="15" thickBot="1" x14ac:dyDescent="0.4">
      <c r="A18" s="161" t="s">
        <v>40</v>
      </c>
      <c r="B18" s="162"/>
      <c r="C18" s="162"/>
      <c r="D18" s="162"/>
      <c r="E18" s="162"/>
      <c r="F18" s="162"/>
      <c r="G18" s="162"/>
      <c r="H18" s="48">
        <f>SUM(H11:H17)</f>
        <v>48</v>
      </c>
    </row>
    <row r="19" spans="1:8" ht="15" outlineLevel="1" thickBot="1" x14ac:dyDescent="0.4">
      <c r="A19" s="159" t="s">
        <v>26</v>
      </c>
      <c r="B19" s="160"/>
      <c r="C19" s="160"/>
      <c r="D19" s="85" t="s">
        <v>235</v>
      </c>
      <c r="E19" s="85" t="s">
        <v>238</v>
      </c>
      <c r="F19" s="85" t="s">
        <v>236</v>
      </c>
      <c r="G19" s="86" t="s">
        <v>28</v>
      </c>
      <c r="H19" s="49" t="s">
        <v>234</v>
      </c>
    </row>
    <row r="20" spans="1:8" outlineLevel="1" x14ac:dyDescent="0.35">
      <c r="A20" s="167" t="s">
        <v>148</v>
      </c>
      <c r="B20" s="168"/>
      <c r="C20" s="116" t="s">
        <v>277</v>
      </c>
      <c r="D20" s="90">
        <f>IF(F1="männlich",VLOOKUP(H2,Standsprünge!A3:C15,3,0),VLOOKUP(H2,Standsprünge!A3:B15,2,0))+IF(C20="Druckmessplatte",0)</f>
        <v>17.2</v>
      </c>
      <c r="E20" s="90"/>
      <c r="F20" s="67">
        <v>17.670000000000002</v>
      </c>
      <c r="G20" s="91" t="s">
        <v>149</v>
      </c>
      <c r="H20" s="88">
        <f>IF(F20="",0,(F20-D20)*10)</f>
        <v>4.7000000000000242</v>
      </c>
    </row>
    <row r="21" spans="1:8" outlineLevel="1" x14ac:dyDescent="0.35">
      <c r="A21" s="165" t="str">
        <f>IF(H2&gt;15,"entfällt","TBN")</f>
        <v>entfällt</v>
      </c>
      <c r="B21" s="166"/>
      <c r="C21" s="77"/>
      <c r="D21" s="78" t="str">
        <f ca="1">IF(C21="","",VLOOKUP(C21,INDIRECT($C$57),2,0))</f>
        <v/>
      </c>
      <c r="E21" s="78" t="str">
        <f ca="1">IF(C21="","",VLOOKUP(C21,INDIRECT($C$57),3,0))</f>
        <v/>
      </c>
      <c r="F21" s="42"/>
      <c r="G21" s="71" t="str">
        <f>IF(H2&gt;16,"entfällt","Wert - Abzug")</f>
        <v>entfällt</v>
      </c>
      <c r="H21" s="66">
        <f>IF(A21="entfällt",0,IF(F21="",0,D21-F21))</f>
        <v>0</v>
      </c>
    </row>
    <row r="22" spans="1:8" outlineLevel="1" x14ac:dyDescent="0.35">
      <c r="A22" s="165" t="str">
        <f>IF(H2&gt;15,"entfällt","TBN")</f>
        <v>entfällt</v>
      </c>
      <c r="B22" s="166"/>
      <c r="C22" s="77"/>
      <c r="D22" s="78" t="str">
        <f ca="1">IF(C22="","",VLOOKUP(C22,INDIRECT($C$57),2,0))</f>
        <v/>
      </c>
      <c r="E22" s="78" t="str">
        <f ca="1">IF(C22="","",VLOOKUP(C22,INDIRECT($C$57),3,0))</f>
        <v/>
      </c>
      <c r="F22" s="42"/>
      <c r="G22" s="71" t="str">
        <f>IF(H2&gt;16,"entfällt","Wert - Abzug")</f>
        <v>entfällt</v>
      </c>
      <c r="H22" s="66">
        <f t="shared" ref="H22:H28" si="0">IF(A22="entfällt",0,IF(F22="",0,D22-F22))</f>
        <v>0</v>
      </c>
    </row>
    <row r="23" spans="1:8" outlineLevel="1" x14ac:dyDescent="0.35">
      <c r="A23" s="165" t="str">
        <f>IF(H2&gt;11,"entfällt","TBN")</f>
        <v>entfällt</v>
      </c>
      <c r="B23" s="166"/>
      <c r="C23" s="77"/>
      <c r="D23" s="78" t="str">
        <f ca="1">IF(C23="","",VLOOKUP(C23,INDIRECT($C$57),2,0))</f>
        <v/>
      </c>
      <c r="E23" s="78" t="str">
        <f ca="1">IF(C23="","",VLOOKUP(C23,INDIRECT($C$57),3,0))</f>
        <v/>
      </c>
      <c r="F23" s="42"/>
      <c r="G23" s="71" t="str">
        <f>IF(H2&gt;16,"entfällt","Wert - Abzug")</f>
        <v>entfällt</v>
      </c>
      <c r="H23" s="66">
        <f t="shared" si="0"/>
        <v>0</v>
      </c>
    </row>
    <row r="24" spans="1:8" outlineLevel="1" x14ac:dyDescent="0.35">
      <c r="A24" s="110" t="s">
        <v>147</v>
      </c>
      <c r="B24" s="111"/>
      <c r="C24" s="77" t="s">
        <v>424</v>
      </c>
      <c r="D24" s="78">
        <v>18</v>
      </c>
      <c r="E24" s="78">
        <v>6</v>
      </c>
      <c r="F24" s="42">
        <v>4</v>
      </c>
      <c r="G24" s="71" t="s">
        <v>146</v>
      </c>
      <c r="H24" s="66">
        <f t="shared" si="0"/>
        <v>14</v>
      </c>
    </row>
    <row r="25" spans="1:8" outlineLevel="1" x14ac:dyDescent="0.35">
      <c r="A25" s="110" t="s">
        <v>147</v>
      </c>
      <c r="B25" s="111"/>
      <c r="C25" s="77" t="s">
        <v>74</v>
      </c>
      <c r="D25" s="78">
        <v>20</v>
      </c>
      <c r="E25" s="78">
        <v>6</v>
      </c>
      <c r="F25" s="42">
        <v>2</v>
      </c>
      <c r="G25" s="71" t="s">
        <v>146</v>
      </c>
      <c r="H25" s="66">
        <f t="shared" si="0"/>
        <v>18</v>
      </c>
    </row>
    <row r="26" spans="1:8" outlineLevel="1" x14ac:dyDescent="0.35">
      <c r="A26" s="110" t="s">
        <v>147</v>
      </c>
      <c r="B26" s="111"/>
      <c r="C26" s="77" t="s">
        <v>64</v>
      </c>
      <c r="D26" s="78">
        <v>15</v>
      </c>
      <c r="E26" s="78">
        <v>6</v>
      </c>
      <c r="F26" s="42">
        <v>2</v>
      </c>
      <c r="G26" s="71" t="s">
        <v>146</v>
      </c>
      <c r="H26" s="66">
        <f t="shared" si="0"/>
        <v>13</v>
      </c>
    </row>
    <row r="27" spans="1:8" outlineLevel="1" x14ac:dyDescent="0.35">
      <c r="A27" s="110" t="str">
        <f>IF(H2&gt;11,"TN","entfällt")</f>
        <v>TN</v>
      </c>
      <c r="B27" s="111"/>
      <c r="C27" s="77" t="s">
        <v>218</v>
      </c>
      <c r="D27" s="78">
        <v>16</v>
      </c>
      <c r="E27" s="78">
        <v>6</v>
      </c>
      <c r="F27" s="42">
        <v>2</v>
      </c>
      <c r="G27" s="71" t="str">
        <f>IF(H2&gt;12,"Wert - Abzug","entfällt")</f>
        <v>Wert - Abzug</v>
      </c>
      <c r="H27" s="66">
        <f t="shared" si="0"/>
        <v>14</v>
      </c>
    </row>
    <row r="28" spans="1:8" outlineLevel="1" x14ac:dyDescent="0.35">
      <c r="A28" s="110" t="str">
        <f>IF(H2&gt;15,"TN","entfällt")</f>
        <v>TN</v>
      </c>
      <c r="B28" s="111"/>
      <c r="C28" s="77" t="s">
        <v>68</v>
      </c>
      <c r="D28" s="78">
        <v>16</v>
      </c>
      <c r="E28" s="78">
        <v>6</v>
      </c>
      <c r="F28" s="42">
        <v>4</v>
      </c>
      <c r="G28" s="71" t="str">
        <f>IF(H2&gt;16,"Wert - Abzug","entfällt")</f>
        <v>Wert - Abzug</v>
      </c>
      <c r="H28" s="66">
        <f t="shared" si="0"/>
        <v>12</v>
      </c>
    </row>
    <row r="29" spans="1:8" outlineLevel="1" x14ac:dyDescent="0.35">
      <c r="A29" s="110" t="str">
        <f>IF(H2&gt;15,"TN","entfällt")</f>
        <v>TN</v>
      </c>
      <c r="B29" s="111"/>
      <c r="C29" s="77" t="s">
        <v>72</v>
      </c>
      <c r="D29" s="78">
        <v>18</v>
      </c>
      <c r="E29" s="78">
        <v>6</v>
      </c>
      <c r="F29" s="42">
        <v>4</v>
      </c>
      <c r="G29" s="71" t="str">
        <f>IF(H2&gt;16,"Wert - Abzug","entfällt")</f>
        <v>Wert - Abzug</v>
      </c>
      <c r="H29" s="66">
        <f>IF(A29="entfällt",0,IF(F29="",0,D29-F29))</f>
        <v>14</v>
      </c>
    </row>
    <row r="30" spans="1:8" outlineLevel="1" x14ac:dyDescent="0.35">
      <c r="A30" s="165" t="str">
        <f>IF($H$2&gt;10,"Verbindung Sprung 1","entfällt")</f>
        <v>Verbindung Sprung 1</v>
      </c>
      <c r="B30" s="166"/>
      <c r="C30" s="40" t="str">
        <f ca="1">IF(A30&lt;&gt;"entfällt",VLOOKUP(1,INDIRECT($C$68),2,0),"")</f>
        <v>803&lt;</v>
      </c>
      <c r="D30" s="40">
        <f ca="1">IF(A30&lt;&gt;"entfällt",VLOOKUP(1,INDIRECT($C$68),3,0),"")</f>
        <v>15</v>
      </c>
      <c r="E30" s="40">
        <f ca="1">IF(A30&lt;&gt;"entfällt",VLOOKUP(1,INDIRECT($C$68),4,0),"")</f>
        <v>3</v>
      </c>
      <c r="F30" s="42">
        <v>2</v>
      </c>
      <c r="G30" s="71" t="str">
        <f>IF(H2&gt;12,"Wert - Abzug","entfällt")</f>
        <v>Wert - Abzug</v>
      </c>
      <c r="H30" s="66"/>
    </row>
    <row r="31" spans="1:8" outlineLevel="1" x14ac:dyDescent="0.35">
      <c r="A31" s="165" t="str">
        <f>IF($H$2&gt;10,"Verbindung Sprung 2","entfällt")</f>
        <v>Verbindung Sprung 2</v>
      </c>
      <c r="B31" s="166"/>
      <c r="C31" s="40" t="str">
        <f ca="1">IF(A31&lt;&gt;"entfällt",VLOOKUP(2,INDIRECT($C$68),2,0),"")</f>
        <v>800°</v>
      </c>
      <c r="D31" s="40">
        <f ca="1">IF(A31&lt;&gt;"entfällt",VLOOKUP(2,INDIRECT($C$68),3,0),"")</f>
        <v>10</v>
      </c>
      <c r="E31" s="40">
        <f ca="1">IF(A31&lt;&gt;"entfällt",VLOOKUP(2,INDIRECT($C$68),4,0),"")</f>
        <v>3</v>
      </c>
      <c r="F31" s="42">
        <v>2</v>
      </c>
      <c r="G31" s="71" t="str">
        <f>IF(H2&gt;12,"Wert - Abzug","entfällt")</f>
        <v>Wert - Abzug</v>
      </c>
      <c r="H31" s="66"/>
    </row>
    <row r="32" spans="1:8" outlineLevel="1" x14ac:dyDescent="0.35">
      <c r="A32" s="165" t="str">
        <f>IF($H$2&gt;10,"Verbindung Sprung 3","entfällt")</f>
        <v>Verbindung Sprung 3</v>
      </c>
      <c r="B32" s="166"/>
      <c r="C32" s="40" t="str">
        <f ca="1">IF(A32&lt;&gt;"entfällt",VLOOKUP(3,INDIRECT($C$68),2,0),"")</f>
        <v>801&lt;</v>
      </c>
      <c r="D32" s="40">
        <f ca="1">IF(A32&lt;&gt;"entfällt",VLOOKUP(3,INDIRECT($C$68),3,0),"")</f>
        <v>13</v>
      </c>
      <c r="E32" s="40">
        <f ca="1">IF(A32&lt;&gt;"entfällt",VLOOKUP(3,INDIRECT($C$68),4,0),"")</f>
        <v>3</v>
      </c>
      <c r="F32" s="42">
        <v>2</v>
      </c>
      <c r="G32" s="71" t="str">
        <f>IF(H2&gt;12,"Wert - Abzug","entfällt")</f>
        <v>Wert - Abzug</v>
      </c>
      <c r="H32" s="66"/>
    </row>
    <row r="33" spans="1:8" outlineLevel="1" x14ac:dyDescent="0.35">
      <c r="A33" s="165" t="str">
        <f>IF($H$2&gt;10,"Verbindung Sprung 4","entfällt")</f>
        <v>Verbindung Sprung 4</v>
      </c>
      <c r="B33" s="166"/>
      <c r="C33" s="40" t="str">
        <f ca="1">IF(A33&lt;&gt;"entfällt",VLOOKUP(4,INDIRECT($C$68),2,0),"")</f>
        <v>40&lt;</v>
      </c>
      <c r="D33" s="40">
        <f ca="1">IF(A33&lt;&gt;"entfällt",VLOOKUP(4,INDIRECT($C$68),3,0),"")</f>
        <v>6</v>
      </c>
      <c r="E33" s="40">
        <f ca="1">IF(A33&lt;&gt;"entfällt",VLOOKUP(4,INDIRECT($C$68),4,0),"")</f>
        <v>3</v>
      </c>
      <c r="F33" s="42">
        <v>1</v>
      </c>
      <c r="G33" s="71" t="str">
        <f>IF(H2&gt;12,"Wert - Abzug","entfällt")</f>
        <v>Wert - Abzug</v>
      </c>
      <c r="H33" s="66"/>
    </row>
    <row r="34" spans="1:8" outlineLevel="1" x14ac:dyDescent="0.35">
      <c r="A34" s="165" t="str">
        <f>IF($H$2&gt;10,"Verbindung Sprung 5","entfällt")</f>
        <v>Verbindung Sprung 5</v>
      </c>
      <c r="B34" s="166"/>
      <c r="C34" s="40" t="str">
        <f ca="1">IF(A34&lt;&gt;"entfällt",VLOOKUP(5,INDIRECT($C$68),2,0),"")</f>
        <v>801°</v>
      </c>
      <c r="D34" s="40">
        <f ca="1">IF(A34&lt;&gt;"entfällt",VLOOKUP(5,INDIRECT($C$68),3,0),"")</f>
        <v>11</v>
      </c>
      <c r="E34" s="40">
        <f ca="1">IF(A34&lt;&gt;"entfällt",VLOOKUP(5,INDIRECT($C$68),4,0),"")</f>
        <v>3</v>
      </c>
      <c r="F34" s="42">
        <v>0</v>
      </c>
      <c r="G34" s="71" t="str">
        <f>IF(H2&gt;12,"Wert - Abzug","entfällt")</f>
        <v>Wert - Abzug</v>
      </c>
      <c r="H34" s="66"/>
    </row>
    <row r="35" spans="1:8" ht="15" outlineLevel="1" thickBot="1" x14ac:dyDescent="0.4">
      <c r="A35" s="171" t="str">
        <f>IF($H$2&gt;10,"Verbindung Sprung 6","entfällt")</f>
        <v>Verbindung Sprung 6</v>
      </c>
      <c r="B35" s="172"/>
      <c r="C35" s="68" t="str">
        <f ca="1">IF(A35&lt;&gt;"entfällt",VLOOKUP(6,INDIRECT($C$68),2,0),"")</f>
        <v>811°</v>
      </c>
      <c r="D35" s="68">
        <f ca="1">IF(A35&lt;&gt;"entfällt",VLOOKUP(6,INDIRECT($C$68),3,0),"")</f>
        <v>12</v>
      </c>
      <c r="E35" s="68">
        <f ca="1">IF(A35&lt;&gt;"entfällt",VLOOKUP(6,INDIRECT($C$68),4,0),"")</f>
        <v>3</v>
      </c>
      <c r="F35" s="69">
        <v>1</v>
      </c>
      <c r="G35" s="72" t="str">
        <f>IF(H2&gt;12,"Wert - Abzug","entfällt")</f>
        <v>Wert - Abzug</v>
      </c>
      <c r="H35" s="70">
        <f>30-F30-F31-F32-F33-F34-F35</f>
        <v>22</v>
      </c>
    </row>
    <row r="36" spans="1:8" ht="15" thickBot="1" x14ac:dyDescent="0.4">
      <c r="A36" s="173" t="s">
        <v>41</v>
      </c>
      <c r="B36" s="174"/>
      <c r="C36" s="174"/>
      <c r="D36" s="174"/>
      <c r="E36" s="174"/>
      <c r="F36" s="174"/>
      <c r="G36" s="175"/>
      <c r="H36" s="89">
        <f>SUM(H20:H35)</f>
        <v>111.70000000000002</v>
      </c>
    </row>
    <row r="37" spans="1:8" ht="15" outlineLevel="1" thickBot="1" x14ac:dyDescent="0.4">
      <c r="A37" s="181" t="s">
        <v>99</v>
      </c>
      <c r="B37" s="182"/>
      <c r="C37" s="182"/>
      <c r="D37" s="183"/>
      <c r="E37" s="85" t="s">
        <v>27</v>
      </c>
      <c r="F37" s="85" t="s">
        <v>237</v>
      </c>
      <c r="G37" s="86" t="s">
        <v>28</v>
      </c>
      <c r="H37" s="49" t="s">
        <v>234</v>
      </c>
    </row>
    <row r="38" spans="1:8" outlineLevel="1" x14ac:dyDescent="0.35">
      <c r="A38" s="179" t="str">
        <f ca="1">VLOOKUP(1,INDIRECT($C$65),2,0)</f>
        <v>Salto vorwärts gehockt aus dem Stand</v>
      </c>
      <c r="B38" s="180"/>
      <c r="C38" s="180"/>
      <c r="D38" s="180"/>
      <c r="E38" s="92">
        <f ca="1">VLOOKUP(1,INDIRECT($C$65),3,0)</f>
        <v>5</v>
      </c>
      <c r="F38" s="79"/>
      <c r="G38" s="80" t="s">
        <v>146</v>
      </c>
      <c r="H38" s="84">
        <f ca="1">IF(E38=" ","",IF(F38="",0,E38-F38))</f>
        <v>0</v>
      </c>
    </row>
    <row r="39" spans="1:8" outlineLevel="1" x14ac:dyDescent="0.35">
      <c r="A39" s="163" t="str">
        <f ca="1">VLOOKUP(2,INDIRECT($C$65),2,0)</f>
        <v>Vorspreizen, Bestellschritt, Strecksprung 3/2 Drehung</v>
      </c>
      <c r="B39" s="164"/>
      <c r="C39" s="164"/>
      <c r="D39" s="164"/>
      <c r="E39" s="87">
        <f ca="1">VLOOKUP(2,INDIRECT($C$65),3,0)</f>
        <v>3</v>
      </c>
      <c r="F39" s="43"/>
      <c r="G39" s="81" t="s">
        <v>146</v>
      </c>
      <c r="H39" s="84">
        <f t="shared" ref="H39:H49" ca="1" si="1">IF(E39=" ","",IF(F39="",0,E39-F39))</f>
        <v>0</v>
      </c>
    </row>
    <row r="40" spans="1:8" outlineLevel="1" x14ac:dyDescent="0.35">
      <c r="A40" s="163" t="str">
        <f ca="1">VLOOKUP(3,INDIRECT($C$65),2,0)</f>
        <v>Rolle rückwärts durch Handstand mit 1/2 Drehung</v>
      </c>
      <c r="B40" s="164"/>
      <c r="C40" s="164"/>
      <c r="D40" s="164"/>
      <c r="E40" s="87">
        <f ca="1">VLOOKUP(3,INDIRECT($C$65),3,0)</f>
        <v>4</v>
      </c>
      <c r="F40" s="43"/>
      <c r="G40" s="81" t="s">
        <v>146</v>
      </c>
      <c r="H40" s="84">
        <f t="shared" ca="1" si="1"/>
        <v>0</v>
      </c>
    </row>
    <row r="41" spans="1:8" outlineLevel="1" x14ac:dyDescent="0.35">
      <c r="A41" s="163" t="str">
        <f ca="1">VLOOKUP(4,INDIRECT($C$65),2,0)</f>
        <v>--&gt; Strecksprung --&gt; Salto vorwärts gehockt</v>
      </c>
      <c r="B41" s="164"/>
      <c r="C41" s="164"/>
      <c r="D41" s="164"/>
      <c r="E41" s="87">
        <f ca="1">VLOOKUP(4,INDIRECT($C$65),3,0)</f>
        <v>4</v>
      </c>
      <c r="F41" s="43"/>
      <c r="G41" s="81" t="s">
        <v>146</v>
      </c>
      <c r="H41" s="84">
        <f t="shared" ca="1" si="1"/>
        <v>0</v>
      </c>
    </row>
    <row r="42" spans="1:8" outlineLevel="1" x14ac:dyDescent="0.35">
      <c r="A42" s="163" t="str">
        <f ca="1">VLOOKUP(5,INDIRECT($C$65),2,0)</f>
        <v>Wiener, 1/2 Drehung, absenken zum Stand</v>
      </c>
      <c r="B42" s="164"/>
      <c r="C42" s="164"/>
      <c r="D42" s="164"/>
      <c r="E42" s="87">
        <f ca="1">VLOOKUP(5,INDIRECT($C$65),3,0)</f>
        <v>4</v>
      </c>
      <c r="F42" s="43"/>
      <c r="G42" s="81" t="s">
        <v>146</v>
      </c>
      <c r="H42" s="84">
        <f t="shared" ca="1" si="1"/>
        <v>0</v>
      </c>
    </row>
    <row r="43" spans="1:8" outlineLevel="1" x14ac:dyDescent="0.35">
      <c r="A43" s="163" t="str">
        <f ca="1">VLOOKUP(6,INDIRECT($C$65),2,0)</f>
        <v>Handstand mit zwei Hüpfern, abrollen</v>
      </c>
      <c r="B43" s="164"/>
      <c r="C43" s="164"/>
      <c r="D43" s="164"/>
      <c r="E43" s="87">
        <f ca="1">VLOOKUP(6,INDIRECT($C$65),3,0)</f>
        <v>2</v>
      </c>
      <c r="F43" s="43"/>
      <c r="G43" s="81" t="s">
        <v>146</v>
      </c>
      <c r="H43" s="84">
        <f t="shared" ca="1" si="1"/>
        <v>0</v>
      </c>
    </row>
    <row r="44" spans="1:8" outlineLevel="1" x14ac:dyDescent="0.35">
      <c r="A44" s="163" t="str">
        <f ca="1">VLOOKUP(7,INDIRECT($C$65),2,0)</f>
        <v>--&gt; aufstehen mit gestreckten Beinen</v>
      </c>
      <c r="B44" s="164"/>
      <c r="C44" s="164"/>
      <c r="D44" s="164"/>
      <c r="E44" s="87">
        <f ca="1">VLOOKUP(7,INDIRECT($C$65),3,0)</f>
        <v>3</v>
      </c>
      <c r="F44" s="43"/>
      <c r="G44" s="81" t="s">
        <v>146</v>
      </c>
      <c r="H44" s="84">
        <f t="shared" ca="1" si="1"/>
        <v>0</v>
      </c>
    </row>
    <row r="45" spans="1:8" outlineLevel="1" x14ac:dyDescent="0.35">
      <c r="A45" s="163" t="str">
        <f ca="1">VLOOKUP(8,INDIRECT($C$65),2,0)</f>
        <v>Salto rückwärts gebückt</v>
      </c>
      <c r="B45" s="164"/>
      <c r="C45" s="164"/>
      <c r="D45" s="164"/>
      <c r="E45" s="87">
        <f ca="1">VLOOKUP(8,INDIRECT($C$65),3,0)</f>
        <v>5</v>
      </c>
      <c r="F45" s="43"/>
      <c r="G45" s="81" t="s">
        <v>146</v>
      </c>
      <c r="H45" s="84">
        <f t="shared" ca="1" si="1"/>
        <v>0</v>
      </c>
    </row>
    <row r="46" spans="1:8" outlineLevel="1" x14ac:dyDescent="0.35">
      <c r="A46" s="163" t="str">
        <f ca="1">VLOOKUP(9,INDIRECT($C$65),2,0)</f>
        <v xml:space="preserve"> </v>
      </c>
      <c r="B46" s="164"/>
      <c r="C46" s="164"/>
      <c r="D46" s="164"/>
      <c r="E46" s="87" t="str">
        <f ca="1">VLOOKUP(9,INDIRECT($C$65),3,0)</f>
        <v xml:space="preserve"> </v>
      </c>
      <c r="F46" s="43"/>
      <c r="G46" s="81" t="str">
        <f>IF(H2&gt;16,"","Wert - Abzug")</f>
        <v/>
      </c>
      <c r="H46" s="84" t="str">
        <f t="shared" ca="1" si="1"/>
        <v/>
      </c>
    </row>
    <row r="47" spans="1:8" outlineLevel="1" x14ac:dyDescent="0.35">
      <c r="A47" s="163" t="str">
        <f ca="1">VLOOKUP(10,INDIRECT($C$65),2,0)</f>
        <v xml:space="preserve"> </v>
      </c>
      <c r="B47" s="164"/>
      <c r="C47" s="164"/>
      <c r="D47" s="164"/>
      <c r="E47" s="87" t="str">
        <f ca="1">VLOOKUP(10,INDIRECT($C$65),3,0)</f>
        <v xml:space="preserve"> </v>
      </c>
      <c r="F47" s="43"/>
      <c r="G47" s="81" t="str">
        <f>IF(H2&gt;16,"","Wert - Abzug")</f>
        <v/>
      </c>
      <c r="H47" s="84" t="str">
        <f t="shared" ca="1" si="1"/>
        <v/>
      </c>
    </row>
    <row r="48" spans="1:8" outlineLevel="1" x14ac:dyDescent="0.35">
      <c r="A48" s="163" t="str">
        <f ca="1">VLOOKUP(11,INDIRECT($C$65),2,0)</f>
        <v xml:space="preserve"> </v>
      </c>
      <c r="B48" s="164"/>
      <c r="C48" s="164"/>
      <c r="D48" s="164"/>
      <c r="E48" s="87" t="str">
        <f ca="1">VLOOKUP(11,INDIRECT($C$65),3,0)</f>
        <v xml:space="preserve"> </v>
      </c>
      <c r="F48" s="43"/>
      <c r="G48" s="81" t="str">
        <f>IF(H2&gt;13,"","Wert - Abzug")</f>
        <v/>
      </c>
      <c r="H48" s="84" t="str">
        <f t="shared" ca="1" si="1"/>
        <v/>
      </c>
    </row>
    <row r="49" spans="1:8" ht="15" outlineLevel="1" thickBot="1" x14ac:dyDescent="0.4">
      <c r="A49" s="184" t="str">
        <f ca="1">VLOOKUP(12,INDIRECT($C$65),2,0)</f>
        <v xml:space="preserve"> </v>
      </c>
      <c r="B49" s="185"/>
      <c r="C49" s="185"/>
      <c r="D49" s="185"/>
      <c r="E49" s="93" t="str">
        <f ca="1">VLOOKUP(12,INDIRECT($C$65),3,0)</f>
        <v xml:space="preserve"> </v>
      </c>
      <c r="F49" s="82"/>
      <c r="G49" s="83" t="str">
        <f>IF(OR(H2=9,H2=12,H2=13),"Wert - Abzug","")</f>
        <v/>
      </c>
      <c r="H49" s="84" t="str">
        <f t="shared" ca="1" si="1"/>
        <v/>
      </c>
    </row>
    <row r="50" spans="1:8" ht="15" thickBot="1" x14ac:dyDescent="0.4">
      <c r="A50" s="176" t="s">
        <v>98</v>
      </c>
      <c r="B50" s="177"/>
      <c r="C50" s="177"/>
      <c r="D50" s="177"/>
      <c r="E50" s="177"/>
      <c r="F50" s="177"/>
      <c r="G50" s="178"/>
      <c r="H50" s="44">
        <f ca="1">SUM(H38:H49)</f>
        <v>0</v>
      </c>
    </row>
    <row r="51" spans="1:8" ht="16" thickBot="1" x14ac:dyDescent="0.4">
      <c r="A51" s="169" t="s">
        <v>42</v>
      </c>
      <c r="B51" s="170"/>
      <c r="C51" s="170"/>
      <c r="D51" s="170"/>
      <c r="E51" s="170"/>
      <c r="F51" s="170"/>
      <c r="G51" s="170"/>
      <c r="H51" s="94">
        <f ca="1">SUM(H9,H18,H36,H50)</f>
        <v>192.70000000000002</v>
      </c>
    </row>
    <row r="52" spans="1:8" s="23" customFormat="1" x14ac:dyDescent="0.35">
      <c r="D52" s="50"/>
      <c r="E52" s="50"/>
      <c r="F52" s="50"/>
      <c r="G52" s="50"/>
    </row>
    <row r="53" spans="1:8" s="23" customFormat="1" hidden="1" x14ac:dyDescent="0.35">
      <c r="C53" s="24"/>
      <c r="D53" s="50"/>
      <c r="E53" s="50"/>
      <c r="F53" s="50"/>
      <c r="G53" s="50"/>
    </row>
    <row r="54" spans="1:8" s="23" customFormat="1" hidden="1" x14ac:dyDescent="0.35">
      <c r="B54" s="23" t="s">
        <v>249</v>
      </c>
      <c r="C54" s="23" t="str">
        <f>IF(H2&lt;13,"beide",F1)</f>
        <v>männlich</v>
      </c>
      <c r="D54" s="50"/>
      <c r="E54" s="50"/>
      <c r="F54" s="50"/>
      <c r="G54" s="50"/>
    </row>
    <row r="55" spans="1:8" s="23" customFormat="1" hidden="1" x14ac:dyDescent="0.35">
      <c r="B55" s="23" t="s">
        <v>3</v>
      </c>
      <c r="C55" s="23" t="str">
        <f>IF(OR(H2=8,H2=11),H2,IF(H2&lt;11,"9_10",IF(H2&lt;14,"12_13",IF(H2&lt;16,"14_15",IF(H2&lt;18,"16_17",18)))))</f>
        <v>16_17</v>
      </c>
      <c r="D55" s="50"/>
      <c r="E55" s="50"/>
      <c r="F55" s="50"/>
      <c r="G55" s="50"/>
    </row>
    <row r="56" spans="1:8" s="23" customFormat="1" hidden="1" x14ac:dyDescent="0.35">
      <c r="D56" s="50"/>
      <c r="E56" s="50"/>
      <c r="F56" s="50"/>
      <c r="G56" s="50"/>
    </row>
    <row r="57" spans="1:8" s="23" customFormat="1" hidden="1" x14ac:dyDescent="0.35">
      <c r="B57" s="23" t="s">
        <v>251</v>
      </c>
      <c r="C57" s="23" t="str">
        <f>"TBN_"&amp;C54&amp;"_"&amp;C55</f>
        <v>TBN_männlich_16_17</v>
      </c>
      <c r="D57" s="50"/>
      <c r="E57" s="50"/>
      <c r="F57" s="50"/>
      <c r="G57" s="50"/>
    </row>
    <row r="58" spans="1:8" s="23" customFormat="1" hidden="1" x14ac:dyDescent="0.35">
      <c r="C58" s="23" t="str">
        <f>C57&amp;"[Beschreibung]"</f>
        <v>TBN_männlich_16_17[Beschreibung]</v>
      </c>
      <c r="D58" s="50"/>
      <c r="E58" s="50"/>
      <c r="F58" s="50"/>
      <c r="G58" s="50"/>
    </row>
    <row r="59" spans="1:8" s="23" customFormat="1" hidden="1" x14ac:dyDescent="0.35">
      <c r="D59" s="50"/>
      <c r="E59" s="50"/>
      <c r="F59" s="50"/>
      <c r="G59" s="50"/>
    </row>
    <row r="60" spans="1:8" s="23" customFormat="1" hidden="1" x14ac:dyDescent="0.35">
      <c r="B60" s="23" t="s">
        <v>147</v>
      </c>
      <c r="C60" s="23" t="str">
        <f>"TN_"&amp;C54&amp;"_"&amp;C55</f>
        <v>TN_männlich_16_17</v>
      </c>
      <c r="D60" s="50"/>
      <c r="E60" s="50"/>
      <c r="F60" s="50"/>
      <c r="G60" s="50"/>
    </row>
    <row r="61" spans="1:8" s="23" customFormat="1" hidden="1" x14ac:dyDescent="0.35">
      <c r="C61" s="23" t="str">
        <f>C60&amp;"[Beschreibung]"</f>
        <v>TN_männlich_16_17[Beschreibung]</v>
      </c>
      <c r="D61" s="50"/>
      <c r="E61" s="50"/>
      <c r="F61" s="50"/>
      <c r="G61" s="50"/>
    </row>
    <row r="62" spans="1:8" s="23" customFormat="1" hidden="1" x14ac:dyDescent="0.35">
      <c r="D62" s="50"/>
      <c r="E62" s="50"/>
      <c r="F62" s="50"/>
      <c r="G62" s="50"/>
    </row>
    <row r="63" spans="1:8" s="23" customFormat="1" hidden="1" x14ac:dyDescent="0.35">
      <c r="B63" s="23" t="s">
        <v>17</v>
      </c>
      <c r="C63" s="23" t="str">
        <f>"TV_"&amp;F1&amp;"_"&amp;C55</f>
        <v>TV_männlich_16_17</v>
      </c>
      <c r="D63" s="50"/>
      <c r="E63" s="50"/>
      <c r="F63" s="50"/>
      <c r="G63" s="50"/>
    </row>
    <row r="64" spans="1:8" s="23" customFormat="1" hidden="1" x14ac:dyDescent="0.35">
      <c r="D64" s="50"/>
      <c r="E64" s="50"/>
      <c r="F64" s="50"/>
      <c r="G64" s="50"/>
    </row>
    <row r="65" spans="2:7" s="23" customFormat="1" hidden="1" x14ac:dyDescent="0.35">
      <c r="B65" s="23" t="s">
        <v>252</v>
      </c>
      <c r="C65" s="23" t="str">
        <f>"BKÜ"&amp;IF(H2=9,"_9",IF(H2&lt;12,"_10_11",IF(H2&lt;14,"_12_13",IF(H2&lt;17,"_14_16","_17"))))</f>
        <v>BKÜ_17</v>
      </c>
      <c r="D65" s="50"/>
      <c r="E65" s="50"/>
      <c r="F65" s="50"/>
      <c r="G65" s="50"/>
    </row>
    <row r="66" spans="2:7" s="23" customFormat="1" hidden="1" x14ac:dyDescent="0.35">
      <c r="D66" s="50"/>
      <c r="E66" s="50"/>
      <c r="F66" s="50"/>
      <c r="G66" s="50"/>
    </row>
    <row r="67" spans="2:7" s="23" customFormat="1" hidden="1" x14ac:dyDescent="0.35">
      <c r="B67" s="23" t="s">
        <v>250</v>
      </c>
      <c r="C67" s="23" t="str">
        <f>IF(H2&lt;17,"beide",F1)</f>
        <v>männlich</v>
      </c>
      <c r="D67" s="50"/>
      <c r="E67" s="50"/>
      <c r="F67" s="50"/>
      <c r="G67" s="50"/>
    </row>
    <row r="68" spans="2:7" s="23" customFormat="1" hidden="1" x14ac:dyDescent="0.35">
      <c r="B68" s="23" t="s">
        <v>17</v>
      </c>
      <c r="C68" s="23" t="str">
        <f>"TV_"&amp;C67&amp;"_"&amp;C55</f>
        <v>TV_männlich_16_17</v>
      </c>
      <c r="D68" s="50"/>
      <c r="E68" s="50"/>
      <c r="F68" s="50"/>
      <c r="G68" s="50"/>
    </row>
    <row r="69" spans="2:7" x14ac:dyDescent="0.35"/>
    <row r="70" spans="2:7" x14ac:dyDescent="0.35"/>
  </sheetData>
  <sheetProtection selectLockedCells="1"/>
  <protectedRanges>
    <protectedRange sqref="H1:H2 F1:F2 B1:B2" name="Athletendaten"/>
    <protectedRange sqref="F38:F49 C20:F35 D69:E440 C69:C441 F4:F8 C38:E68 C11:E16 F11:F17" name="Werte und Varianten"/>
    <protectedRange algorithmName="SHA-512" hashValue="EtPG7jm6pk6JVG08ToKZL4Sto4PS6TOUsygvFmj6DTfcGnX6DwKdfjTEg/2X1Hwnu/CwfNhBUSnXKs/oLqcupQ==" saltValue="sPse4fdTsI5OFESYvRIl8Q==" spinCount="100000" sqref="H4:H8 H38:H49 H20:H35 H11:H17" name="Punktzahlen"/>
  </protectedRanges>
  <mergeCells count="44">
    <mergeCell ref="A12:E12"/>
    <mergeCell ref="B1:E1"/>
    <mergeCell ref="B2:F2"/>
    <mergeCell ref="A3:E3"/>
    <mergeCell ref="A4:E4"/>
    <mergeCell ref="A5:E5"/>
    <mergeCell ref="A6:E6"/>
    <mergeCell ref="A7:E7"/>
    <mergeCell ref="A8:E8"/>
    <mergeCell ref="A9:G9"/>
    <mergeCell ref="A10:E10"/>
    <mergeCell ref="A11:E11"/>
    <mergeCell ref="A31:B31"/>
    <mergeCell ref="A13:E13"/>
    <mergeCell ref="A14:E14"/>
    <mergeCell ref="A15:E15"/>
    <mergeCell ref="A16:E16"/>
    <mergeCell ref="A18:G18"/>
    <mergeCell ref="A19:C19"/>
    <mergeCell ref="A20:B20"/>
    <mergeCell ref="A21:B21"/>
    <mergeCell ref="A22:B22"/>
    <mergeCell ref="A23:B23"/>
    <mergeCell ref="A30:B30"/>
    <mergeCell ref="A43:D43"/>
    <mergeCell ref="A32:B32"/>
    <mergeCell ref="A33:B33"/>
    <mergeCell ref="A34:B34"/>
    <mergeCell ref="A35:B35"/>
    <mergeCell ref="A36:G36"/>
    <mergeCell ref="A37:D37"/>
    <mergeCell ref="A38:D38"/>
    <mergeCell ref="A39:D39"/>
    <mergeCell ref="A40:D40"/>
    <mergeCell ref="A41:D41"/>
    <mergeCell ref="A42:D42"/>
    <mergeCell ref="A50:G50"/>
    <mergeCell ref="A51:G51"/>
    <mergeCell ref="A44:D44"/>
    <mergeCell ref="A45:D45"/>
    <mergeCell ref="A46:D46"/>
    <mergeCell ref="A47:D47"/>
    <mergeCell ref="A48:D48"/>
    <mergeCell ref="A49:D49"/>
  </mergeCells>
  <conditionalFormatting sqref="F46:F49">
    <cfRule type="expression" dxfId="296" priority="3">
      <formula>$A46=" "</formula>
    </cfRule>
  </conditionalFormatting>
  <conditionalFormatting sqref="B24:B29 C21:E29">
    <cfRule type="expression" dxfId="295" priority="2">
      <formula>$A21="entfällt"</formula>
    </cfRule>
    <cfRule type="expression" dxfId="294" priority="4">
      <formula>$H$2&gt;14</formula>
    </cfRule>
  </conditionalFormatting>
  <conditionalFormatting sqref="B24:B29">
    <cfRule type="expression" dxfId="293" priority="1">
      <formula>AND($A24="TN",$C24&lt;&gt;"")</formula>
    </cfRule>
  </conditionalFormatting>
  <dataValidations count="19">
    <dataValidation type="decimal" errorStyle="warning" allowBlank="1" showInputMessage="1" showErrorMessage="1" error="Eingegebener Abzug überschreitet maximal zulässigen Abzug, Wert bitte überprüfen!" sqref="F21:F35" xr:uid="{4F06194D-4681-468A-A60D-AEE4F8DCA1DD}">
      <formula1>0</formula1>
      <formula2>$E21</formula2>
    </dataValidation>
    <dataValidation type="list" allowBlank="1" showInputMessage="1" showErrorMessage="1" sqref="C20" xr:uid="{BEDAE28F-9517-43EB-B01B-D2DABDA0A0A8}">
      <formula1>"Lichtschranke,Druckmessplatte"</formula1>
    </dataValidation>
    <dataValidation type="whole" allowBlank="1" showInputMessage="1" showErrorMessage="1" errorTitle="Falsche Eingabe" error="Bitte Wert prüfen" sqref="D17" xr:uid="{CEB561C8-B226-4590-A194-FE5855A4F9D0}">
      <formula1>1</formula1>
      <formula2>13</formula2>
    </dataValidation>
    <dataValidation type="list" allowBlank="1" showInputMessage="1" sqref="C24:C29" xr:uid="{8A5E795F-23C4-483B-AF8B-2D3A4A15A21E}">
      <formula1>INDIRECT($C$61)</formula1>
    </dataValidation>
    <dataValidation type="list" allowBlank="1" showInputMessage="1" sqref="C21:C23" xr:uid="{BBE73569-A78B-4FF1-8041-718FF8881953}">
      <formula1>INDIRECT($C$58)</formula1>
    </dataValidation>
    <dataValidation allowBlank="1" showInputMessage="1" showErrorMessage="1" prompt="Anzahl der Wiederholungen" sqref="F11" xr:uid="{55670A76-310D-4D21-9F4D-FEA41DAA08E9}"/>
    <dataValidation type="whole" allowBlank="1" showInputMessage="1" showErrorMessage="1" prompt="Abstand von der Oberkante des Turnhockers zur schlechtesten Fingerspitze in cm" sqref="F6" xr:uid="{559C57E3-D2FE-475D-A341-E9A0055D1F8D}">
      <formula1>-50</formula1>
      <formula2>50</formula2>
    </dataValidation>
    <dataValidation type="list" allowBlank="1" showInputMessage="1" showErrorMessage="1" prompt="Punktzahl nach Vergleich mit Bild" sqref="F5" xr:uid="{7F53E58B-0240-4FFE-B321-BA1427EEC244}">
      <formula1>"0,2,6,10"</formula1>
    </dataValidation>
    <dataValidation type="whole" allowBlank="1" showErrorMessage="1" errorTitle="Falsche Eingabe" error="Bitte Wert prüfen" prompt="Höchste erreichte Stufe" sqref="F17" xr:uid="{5B8A2BA6-6111-43CD-AD63-F18A5B9AAE75}">
      <formula1>1</formula1>
      <formula2>11</formula2>
    </dataValidation>
    <dataValidation allowBlank="1" sqref="D20:E20" xr:uid="{FBDB180F-239E-4C35-A37A-2453CF7CC914}"/>
    <dataValidation type="decimal" errorStyle="warning" allowBlank="1" showInputMessage="1" showErrorMessage="1" error="Abzug höher als Wert des Elements, bitte überprüfen!" prompt="Abzug" sqref="F38:F49" xr:uid="{12116EA6-38B2-4DF5-9A77-9FDBE72FF71A}">
      <formula1>0</formula1>
      <formula2>$E38</formula2>
    </dataValidation>
    <dataValidation type="whole" allowBlank="1" showInputMessage="1" showErrorMessage="1" prompt="AKs 9 - 13: Übersprungene Kästchen_x000a__x000a_AKs 14 - 21: Anzahl Saltos" sqref="F15" xr:uid="{5738F38B-C4F8-44AF-8E6A-A51DE5AB9126}">
      <formula1>0</formula1>
      <formula2>50</formula2>
    </dataValidation>
    <dataValidation type="list" allowBlank="1" showInputMessage="1" showErrorMessage="1" sqref="F1" xr:uid="{6852295C-F4FA-45FA-B89F-3B7050B34212}">
      <formula1>"männlich,weiblich"</formula1>
    </dataValidation>
    <dataValidation type="whole" allowBlank="1" showInputMessage="1" showErrorMessage="1" sqref="H4:H8" xr:uid="{40B2EA4E-EDD1-426D-BC75-8E793FEBC172}">
      <formula1>0</formula1>
      <formula2>10</formula2>
    </dataValidation>
    <dataValidation type="whole" allowBlank="1" showInputMessage="1" showErrorMessage="1" prompt="Haltezeit in Sekunden" sqref="F13" xr:uid="{FDB29554-D420-4264-A63E-6C92A3153ED9}">
      <formula1>0</formula1>
      <formula2>200</formula2>
    </dataValidation>
    <dataValidation type="whole" allowBlank="1" showInputMessage="1" showErrorMessage="1" prompt="Haltezeit in Sekunden" sqref="F16" xr:uid="{FB395E80-9335-4F95-9653-0E471499BB8E}">
      <formula1>0</formula1>
      <formula2>100</formula2>
    </dataValidation>
    <dataValidation type="whole" allowBlank="1" showInputMessage="1" showErrorMessage="1" prompt="Anzahl der Wiederholungen" sqref="F14 F12" xr:uid="{F0EB09F6-F40B-466C-8C8C-7FC188FCB605}">
      <formula1>0</formula1>
      <formula2>50</formula2>
    </dataValidation>
    <dataValidation type="list" operator="equal" allowBlank="1" showInputMessage="1" showErrorMessage="1" prompt="Punktzahl nach Vergleich mit Bild" sqref="F4" xr:uid="{0D495F8A-346B-4C71-9662-99223C7013F8}">
      <formula1>"0,2,6,10"</formula1>
    </dataValidation>
    <dataValidation type="decimal" errorStyle="warning" showDropDown="1" showErrorMessage="1" error="Wert unrealistisch hoch, bitte Eingabe überprüfen" promptTitle="Vorsicht" sqref="F20" xr:uid="{2234BF45-BBEE-4BDE-AF70-B76699F1C3CB}">
      <formula1>0</formula1>
      <formula2>30</formula2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Bitte Werte aus Dropdown auswählen" prompt="Abstand vom Boden laut Schablone" xr:uid="{7CDAD433-49EC-46F5-BD69-D1737AE320B8}">
          <x14:formula1>
            <xm:f>Punktetabellen!$A$3:$A$6</xm:f>
          </x14:formula1>
          <xm:sqref>F7:F8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92152-F42A-4409-8225-2315D0E16C9B}">
  <sheetPr codeName="Tabelle35">
    <tabColor indexed="44"/>
    <pageSetUpPr fitToPage="1"/>
  </sheetPr>
  <dimension ref="A1:J70"/>
  <sheetViews>
    <sheetView zoomScale="85" zoomScaleNormal="85" workbookViewId="0">
      <pane ySplit="2" topLeftCell="A37" activePane="bottomLeft" state="frozen"/>
      <selection sqref="A1:H1"/>
      <selection pane="bottomLeft" activeCell="A36" sqref="A36:G36"/>
    </sheetView>
  </sheetViews>
  <sheetFormatPr baseColWidth="10" defaultColWidth="0" defaultRowHeight="14.5" zeroHeight="1" outlineLevelRow="1" x14ac:dyDescent="0.35"/>
  <cols>
    <col min="1" max="1" width="11.453125" customWidth="1"/>
    <col min="2" max="2" width="12.1796875" customWidth="1"/>
    <col min="3" max="3" width="44.81640625" bestFit="1" customWidth="1"/>
    <col min="4" max="5" width="11.453125" style="154" customWidth="1"/>
    <col min="6" max="6" width="16.1796875" style="154" bestFit="1" customWidth="1"/>
    <col min="7" max="7" width="13.81640625" style="154" customWidth="1"/>
    <col min="8" max="8" width="11.453125" customWidth="1"/>
    <col min="9" max="9" width="6.1796875" style="23" hidden="1" customWidth="1"/>
    <col min="10" max="10" width="0" hidden="1" customWidth="1"/>
    <col min="11" max="16384" width="11.453125" hidden="1"/>
  </cols>
  <sheetData>
    <row r="1" spans="1:8" ht="15.5" x14ac:dyDescent="0.35">
      <c r="A1" s="16" t="s">
        <v>1</v>
      </c>
      <c r="B1" s="186" t="s">
        <v>398</v>
      </c>
      <c r="C1" s="187"/>
      <c r="D1" s="187"/>
      <c r="E1" s="188"/>
      <c r="F1" s="51" t="s">
        <v>96</v>
      </c>
      <c r="G1" s="61" t="s">
        <v>24</v>
      </c>
      <c r="H1" s="63">
        <v>2002</v>
      </c>
    </row>
    <row r="2" spans="1:8" ht="16" thickBot="1" x14ac:dyDescent="0.4">
      <c r="A2" s="17" t="s">
        <v>4</v>
      </c>
      <c r="B2" s="198" t="s">
        <v>399</v>
      </c>
      <c r="C2" s="199"/>
      <c r="D2" s="199"/>
      <c r="E2" s="199"/>
      <c r="F2" s="200"/>
      <c r="G2" s="62" t="s">
        <v>3</v>
      </c>
      <c r="H2" s="64">
        <f>2022-H1</f>
        <v>20</v>
      </c>
    </row>
    <row r="3" spans="1:8" ht="15" outlineLevel="1" thickBot="1" x14ac:dyDescent="0.4">
      <c r="A3" s="189" t="s">
        <v>26</v>
      </c>
      <c r="B3" s="190"/>
      <c r="C3" s="190"/>
      <c r="D3" s="190"/>
      <c r="E3" s="191"/>
      <c r="F3" s="46" t="s">
        <v>27</v>
      </c>
      <c r="G3" s="47" t="s">
        <v>28</v>
      </c>
      <c r="H3" s="22" t="s">
        <v>234</v>
      </c>
    </row>
    <row r="4" spans="1:8" outlineLevel="1" x14ac:dyDescent="0.35">
      <c r="A4" s="192" t="s">
        <v>30</v>
      </c>
      <c r="B4" s="193"/>
      <c r="C4" s="193"/>
      <c r="D4" s="193"/>
      <c r="E4" s="194"/>
      <c r="F4" s="25">
        <v>6</v>
      </c>
      <c r="G4" s="55" t="s">
        <v>32</v>
      </c>
      <c r="H4" s="34">
        <f>F4</f>
        <v>6</v>
      </c>
    </row>
    <row r="5" spans="1:8" outlineLevel="1" x14ac:dyDescent="0.35">
      <c r="A5" s="195" t="s">
        <v>85</v>
      </c>
      <c r="B5" s="196"/>
      <c r="C5" s="196"/>
      <c r="D5" s="196"/>
      <c r="E5" s="197"/>
      <c r="F5" s="14">
        <v>6</v>
      </c>
      <c r="G5" s="56" t="s">
        <v>32</v>
      </c>
      <c r="H5" s="35">
        <f>F5</f>
        <v>6</v>
      </c>
    </row>
    <row r="6" spans="1:8" outlineLevel="1" x14ac:dyDescent="0.35">
      <c r="A6" s="195" t="s">
        <v>33</v>
      </c>
      <c r="B6" s="196"/>
      <c r="C6" s="196"/>
      <c r="D6" s="196"/>
      <c r="E6" s="197"/>
      <c r="F6" s="14">
        <v>10</v>
      </c>
      <c r="G6" s="56" t="s">
        <v>31</v>
      </c>
      <c r="H6" s="35">
        <f>IF(F6="",0,VLOOKUP(F6,Punktetabellen!A10:B15,2,1))</f>
        <v>0</v>
      </c>
    </row>
    <row r="7" spans="1:8" outlineLevel="1" x14ac:dyDescent="0.35">
      <c r="A7" s="195" t="s">
        <v>34</v>
      </c>
      <c r="B7" s="196"/>
      <c r="C7" s="196"/>
      <c r="D7" s="196"/>
      <c r="E7" s="197"/>
      <c r="F7" s="14" t="s">
        <v>86</v>
      </c>
      <c r="G7" s="56" t="s">
        <v>31</v>
      </c>
      <c r="H7" s="35">
        <f>IF(F7="",0,VLOOKUP(F7,Punktetabellen!A3:B6,2,0))</f>
        <v>4</v>
      </c>
    </row>
    <row r="8" spans="1:8" ht="15" outlineLevel="1" thickBot="1" x14ac:dyDescent="0.4">
      <c r="A8" s="204" t="s">
        <v>35</v>
      </c>
      <c r="B8" s="205"/>
      <c r="C8" s="205"/>
      <c r="D8" s="205"/>
      <c r="E8" s="206"/>
      <c r="F8" s="41">
        <v>0</v>
      </c>
      <c r="G8" s="57" t="s">
        <v>31</v>
      </c>
      <c r="H8" s="36">
        <f>IF(F8="",0,VLOOKUP(F8,Punktetabellen!A3:B6,2,0))</f>
        <v>5</v>
      </c>
    </row>
    <row r="9" spans="1:8" ht="15" thickBot="1" x14ac:dyDescent="0.4">
      <c r="A9" s="210" t="s">
        <v>36</v>
      </c>
      <c r="B9" s="211"/>
      <c r="C9" s="211"/>
      <c r="D9" s="211"/>
      <c r="E9" s="211"/>
      <c r="F9" s="211"/>
      <c r="G9" s="211"/>
      <c r="H9" s="48">
        <f>SUM(H4:H8)</f>
        <v>21</v>
      </c>
    </row>
    <row r="10" spans="1:8" ht="15" outlineLevel="1" thickBot="1" x14ac:dyDescent="0.4">
      <c r="A10" s="189" t="s">
        <v>26</v>
      </c>
      <c r="B10" s="190"/>
      <c r="C10" s="190"/>
      <c r="D10" s="190"/>
      <c r="E10" s="191"/>
      <c r="F10" s="46" t="s">
        <v>27</v>
      </c>
      <c r="G10" s="47" t="s">
        <v>28</v>
      </c>
      <c r="H10" s="22" t="s">
        <v>234</v>
      </c>
    </row>
    <row r="11" spans="1:8" outlineLevel="1" x14ac:dyDescent="0.35">
      <c r="A11" s="207" t="s">
        <v>37</v>
      </c>
      <c r="B11" s="208"/>
      <c r="C11" s="208"/>
      <c r="D11" s="208"/>
      <c r="E11" s="209"/>
      <c r="F11" s="26">
        <v>15</v>
      </c>
      <c r="G11" s="58" t="s">
        <v>31</v>
      </c>
      <c r="H11" s="37">
        <f>IF($F11="",0,VLOOKUP($F11,Pkte_Klimmzug[],$H$2,1))</f>
        <v>10</v>
      </c>
    </row>
    <row r="12" spans="1:8" outlineLevel="1" x14ac:dyDescent="0.35">
      <c r="A12" s="201" t="s">
        <v>38</v>
      </c>
      <c r="B12" s="202"/>
      <c r="C12" s="202"/>
      <c r="D12" s="202"/>
      <c r="E12" s="203"/>
      <c r="F12" s="27">
        <v>12</v>
      </c>
      <c r="G12" s="59" t="s">
        <v>31</v>
      </c>
      <c r="H12" s="38">
        <f>IF($F12="",0,VLOOKUP($F12,Pkte_Beinheben[],$H$2,1))</f>
        <v>10</v>
      </c>
    </row>
    <row r="13" spans="1:8" outlineLevel="1" x14ac:dyDescent="0.35">
      <c r="A13" s="201" t="s">
        <v>88</v>
      </c>
      <c r="B13" s="202"/>
      <c r="C13" s="202"/>
      <c r="D13" s="202"/>
      <c r="E13" s="203"/>
      <c r="F13" s="27">
        <v>110</v>
      </c>
      <c r="G13" s="59" t="s">
        <v>31</v>
      </c>
      <c r="H13" s="38">
        <f>IF($F13="",0,VLOOKUP($F13,Pkte_Flieger[],$H$2,1))</f>
        <v>10</v>
      </c>
    </row>
    <row r="14" spans="1:8" outlineLevel="1" x14ac:dyDescent="0.35">
      <c r="A14" s="201" t="s">
        <v>39</v>
      </c>
      <c r="B14" s="202"/>
      <c r="C14" s="202"/>
      <c r="D14" s="202"/>
      <c r="E14" s="203"/>
      <c r="F14" s="27">
        <v>23</v>
      </c>
      <c r="G14" s="59" t="s">
        <v>31</v>
      </c>
      <c r="H14" s="38">
        <f>IF($F14="",0,VLOOKUP($F14,Pkte_Rollenverbindung[],$H$2,1))</f>
        <v>7</v>
      </c>
    </row>
    <row r="15" spans="1:8" outlineLevel="1" x14ac:dyDescent="0.35">
      <c r="A15" s="201" t="s">
        <v>89</v>
      </c>
      <c r="B15" s="202"/>
      <c r="C15" s="202"/>
      <c r="D15" s="202"/>
      <c r="E15" s="203"/>
      <c r="F15" s="27">
        <v>10</v>
      </c>
      <c r="G15" s="59" t="s">
        <v>31</v>
      </c>
      <c r="H15" s="38">
        <f>IF($F15="",0,VLOOKUP($F15,Pkte_Prellsprung[],$H$2,1))</f>
        <v>10</v>
      </c>
    </row>
    <row r="16" spans="1:8" outlineLevel="1" x14ac:dyDescent="0.35">
      <c r="A16" s="201" t="s">
        <v>90</v>
      </c>
      <c r="B16" s="202"/>
      <c r="C16" s="202"/>
      <c r="D16" s="202"/>
      <c r="E16" s="203"/>
      <c r="F16" s="28">
        <v>30</v>
      </c>
      <c r="G16" s="59" t="s">
        <v>31</v>
      </c>
      <c r="H16" s="38">
        <f>IF($F16="",0,VLOOKUP($F16,Pkte_Handstand[],$H$2,1))</f>
        <v>10</v>
      </c>
    </row>
    <row r="17" spans="1:8" ht="15" outlineLevel="1" thickBot="1" x14ac:dyDescent="0.4">
      <c r="A17" s="112" t="s">
        <v>93</v>
      </c>
      <c r="B17" s="113"/>
      <c r="C17" s="114" t="s">
        <v>269</v>
      </c>
      <c r="D17" s="29">
        <v>12</v>
      </c>
      <c r="E17" s="115" t="s">
        <v>270</v>
      </c>
      <c r="F17" s="29">
        <v>7</v>
      </c>
      <c r="G17" s="60" t="s">
        <v>31</v>
      </c>
      <c r="H17" s="39">
        <f>IF($F17="",0,IF($F$1="weiblich",VLOOKUP((100*$D17+$F17),Pkte_Shuttle_W[],$H$2,1),VLOOKUP((100*$D17+$F17),Pkte_Shuttle_M[],$H$2,1)))</f>
        <v>8</v>
      </c>
    </row>
    <row r="18" spans="1:8" ht="15" thickBot="1" x14ac:dyDescent="0.4">
      <c r="A18" s="161" t="s">
        <v>40</v>
      </c>
      <c r="B18" s="162"/>
      <c r="C18" s="162"/>
      <c r="D18" s="162"/>
      <c r="E18" s="162"/>
      <c r="F18" s="162"/>
      <c r="G18" s="162"/>
      <c r="H18" s="48">
        <f>SUM(H11:H17)</f>
        <v>65</v>
      </c>
    </row>
    <row r="19" spans="1:8" ht="15" outlineLevel="1" thickBot="1" x14ac:dyDescent="0.4">
      <c r="A19" s="159" t="s">
        <v>26</v>
      </c>
      <c r="B19" s="160"/>
      <c r="C19" s="160"/>
      <c r="D19" s="85" t="s">
        <v>235</v>
      </c>
      <c r="E19" s="85" t="s">
        <v>238</v>
      </c>
      <c r="F19" s="85" t="s">
        <v>236</v>
      </c>
      <c r="G19" s="86" t="s">
        <v>28</v>
      </c>
      <c r="H19" s="49" t="s">
        <v>234</v>
      </c>
    </row>
    <row r="20" spans="1:8" outlineLevel="1" x14ac:dyDescent="0.35">
      <c r="A20" s="167" t="s">
        <v>148</v>
      </c>
      <c r="B20" s="168"/>
      <c r="C20" s="116" t="s">
        <v>277</v>
      </c>
      <c r="D20" s="90">
        <f>IF(F1="männlich",VLOOKUP(H2,Standsprünge!A3:C15,3,0),VLOOKUP(H2,Standsprünge!A3:B15,2,0))+IF(C20="Druckmessplatte",0)</f>
        <v>18.100000000000001</v>
      </c>
      <c r="E20" s="90"/>
      <c r="F20" s="67">
        <v>19.04</v>
      </c>
      <c r="G20" s="91" t="s">
        <v>149</v>
      </c>
      <c r="H20" s="88">
        <f>IF(F20="",0,(F20-D20)*10)</f>
        <v>9.3999999999999773</v>
      </c>
    </row>
    <row r="21" spans="1:8" outlineLevel="1" x14ac:dyDescent="0.35">
      <c r="A21" s="165" t="str">
        <f>IF(H2&gt;15,"entfällt","TBN")</f>
        <v>entfällt</v>
      </c>
      <c r="B21" s="166"/>
      <c r="C21" s="77"/>
      <c r="D21" s="78" t="str">
        <f ca="1">IF(C21="","",VLOOKUP(C21,INDIRECT($C$57),2,0))</f>
        <v/>
      </c>
      <c r="E21" s="78" t="str">
        <f ca="1">IF(C21="","",VLOOKUP(C21,INDIRECT($C$57),3,0))</f>
        <v/>
      </c>
      <c r="F21" s="42"/>
      <c r="G21" s="71" t="str">
        <f>IF(H2&gt;16,"entfällt","Wert - Abzug")</f>
        <v>entfällt</v>
      </c>
      <c r="H21" s="66">
        <f>IF(A21="entfällt",0,IF(F21="",0,D21-F21))</f>
        <v>0</v>
      </c>
    </row>
    <row r="22" spans="1:8" outlineLevel="1" x14ac:dyDescent="0.35">
      <c r="A22" s="165" t="str">
        <f>IF(H2&gt;15,"entfällt","TBN")</f>
        <v>entfällt</v>
      </c>
      <c r="B22" s="166"/>
      <c r="C22" s="77"/>
      <c r="D22" s="78" t="str">
        <f ca="1">IF(C22="","",VLOOKUP(C22,INDIRECT($C$57),2,0))</f>
        <v/>
      </c>
      <c r="E22" s="78" t="str">
        <f ca="1">IF(C22="","",VLOOKUP(C22,INDIRECT($C$57),3,0))</f>
        <v/>
      </c>
      <c r="F22" s="42"/>
      <c r="G22" s="71" t="str">
        <f>IF(H2&gt;16,"entfällt","Wert - Abzug")</f>
        <v>entfällt</v>
      </c>
      <c r="H22" s="66">
        <f t="shared" ref="H22:H28" si="0">IF(A22="entfällt",0,IF(F22="",0,D22-F22))</f>
        <v>0</v>
      </c>
    </row>
    <row r="23" spans="1:8" outlineLevel="1" x14ac:dyDescent="0.35">
      <c r="A23" s="165" t="str">
        <f>IF(H2&gt;11,"entfällt","TBN")</f>
        <v>entfällt</v>
      </c>
      <c r="B23" s="166"/>
      <c r="C23" s="77"/>
      <c r="D23" s="78" t="str">
        <f ca="1">IF(C23="","",VLOOKUP(C23,INDIRECT($C$57),2,0))</f>
        <v/>
      </c>
      <c r="E23" s="78" t="str">
        <f ca="1">IF(C23="","",VLOOKUP(C23,INDIRECT($C$57),3,0))</f>
        <v/>
      </c>
      <c r="F23" s="42"/>
      <c r="G23" s="71" t="str">
        <f>IF(H2&gt;16,"entfällt","Wert - Abzug")</f>
        <v>entfällt</v>
      </c>
      <c r="H23" s="66">
        <f t="shared" si="0"/>
        <v>0</v>
      </c>
    </row>
    <row r="24" spans="1:8" outlineLevel="1" x14ac:dyDescent="0.35">
      <c r="A24" s="110" t="s">
        <v>147</v>
      </c>
      <c r="B24" s="111"/>
      <c r="C24" s="77"/>
      <c r="D24" s="78"/>
      <c r="E24" s="78"/>
      <c r="F24" s="42"/>
      <c r="G24" s="71" t="s">
        <v>146</v>
      </c>
      <c r="H24" s="66">
        <f t="shared" si="0"/>
        <v>0</v>
      </c>
    </row>
    <row r="25" spans="1:8" outlineLevel="1" x14ac:dyDescent="0.35">
      <c r="A25" s="110" t="s">
        <v>147</v>
      </c>
      <c r="B25" s="111"/>
      <c r="C25" s="77"/>
      <c r="D25" s="78"/>
      <c r="E25" s="78"/>
      <c r="F25" s="42"/>
      <c r="G25" s="71" t="s">
        <v>146</v>
      </c>
      <c r="H25" s="66">
        <f t="shared" si="0"/>
        <v>0</v>
      </c>
    </row>
    <row r="26" spans="1:8" outlineLevel="1" x14ac:dyDescent="0.35">
      <c r="A26" s="110" t="s">
        <v>147</v>
      </c>
      <c r="B26" s="111"/>
      <c r="C26" s="77"/>
      <c r="D26" s="78"/>
      <c r="E26" s="78"/>
      <c r="F26" s="42"/>
      <c r="G26" s="71" t="s">
        <v>146</v>
      </c>
      <c r="H26" s="66">
        <f t="shared" si="0"/>
        <v>0</v>
      </c>
    </row>
    <row r="27" spans="1:8" outlineLevel="1" x14ac:dyDescent="0.35">
      <c r="A27" s="110" t="str">
        <f>IF(H2&gt;11,"TN","entfällt")</f>
        <v>TN</v>
      </c>
      <c r="B27" s="111"/>
      <c r="C27" s="77"/>
      <c r="D27" s="78"/>
      <c r="E27" s="78"/>
      <c r="F27" s="42"/>
      <c r="G27" s="71" t="str">
        <f>IF(H2&gt;12,"Wert - Abzug","entfällt")</f>
        <v>Wert - Abzug</v>
      </c>
      <c r="H27" s="66">
        <f t="shared" si="0"/>
        <v>0</v>
      </c>
    </row>
    <row r="28" spans="1:8" outlineLevel="1" x14ac:dyDescent="0.35">
      <c r="A28" s="110" t="str">
        <f>IF(H2&gt;15,"TN","entfällt")</f>
        <v>TN</v>
      </c>
      <c r="B28" s="111"/>
      <c r="C28" s="77"/>
      <c r="D28" s="78"/>
      <c r="E28" s="78"/>
      <c r="F28" s="42"/>
      <c r="G28" s="71" t="str">
        <f>IF(H2&gt;16,"Wert - Abzug","entfällt")</f>
        <v>Wert - Abzug</v>
      </c>
      <c r="H28" s="66">
        <f t="shared" si="0"/>
        <v>0</v>
      </c>
    </row>
    <row r="29" spans="1:8" outlineLevel="1" x14ac:dyDescent="0.35">
      <c r="A29" s="110" t="str">
        <f>IF(H2&gt;15,"TN","entfällt")</f>
        <v>TN</v>
      </c>
      <c r="B29" s="111"/>
      <c r="C29" s="77"/>
      <c r="D29" s="78"/>
      <c r="E29" s="78"/>
      <c r="F29" s="42"/>
      <c r="G29" s="71" t="str">
        <f>IF(H2&gt;16,"Wert - Abzug","entfällt")</f>
        <v>Wert - Abzug</v>
      </c>
      <c r="H29" s="66">
        <f>IF(A29="entfällt",0,IF(F29="",0,D29-F29))</f>
        <v>0</v>
      </c>
    </row>
    <row r="30" spans="1:8" outlineLevel="1" x14ac:dyDescent="0.35">
      <c r="A30" s="165" t="str">
        <f>IF($H$2&gt;10,"Verbindung Sprung 1","entfällt")</f>
        <v>Verbindung Sprung 1</v>
      </c>
      <c r="B30" s="166"/>
      <c r="C30" s="40" t="str">
        <f ca="1">IF(A30&lt;&gt;"entfällt",VLOOKUP(1,INDIRECT($C$68),2,0),"")</f>
        <v>12001&lt;</v>
      </c>
      <c r="D30" s="40">
        <f ca="1">IF(A30&lt;&gt;"entfällt",VLOOKUP(1,INDIRECT($C$68),3,0),"")</f>
        <v>20</v>
      </c>
      <c r="E30" s="40">
        <f ca="1">IF(A30&lt;&gt;"entfällt",VLOOKUP(1,INDIRECT($C$68),4,0),"")</f>
        <v>3</v>
      </c>
      <c r="F30" s="42">
        <v>5</v>
      </c>
      <c r="G30" s="71" t="str">
        <f>IF(H2&gt;12,"Wert - Abzug","entfällt")</f>
        <v>Wert - Abzug</v>
      </c>
      <c r="H30" s="66"/>
    </row>
    <row r="31" spans="1:8" outlineLevel="1" x14ac:dyDescent="0.35">
      <c r="A31" s="165" t="str">
        <f>IF($H$2&gt;10,"Verbindung Sprung 2","entfällt")</f>
        <v>Verbindung Sprung 2</v>
      </c>
      <c r="B31" s="166"/>
      <c r="C31" s="40" t="str">
        <f ca="1">IF(A31&lt;&gt;"entfällt",VLOOKUP(2,INDIRECT($C$68),2,0),"")</f>
        <v>40&lt;</v>
      </c>
      <c r="D31" s="40">
        <f ca="1">IF(A31&lt;&gt;"entfällt",VLOOKUP(2,INDIRECT($C$68),3,0),"")</f>
        <v>6</v>
      </c>
      <c r="E31" s="40">
        <f ca="1">IF(A31&lt;&gt;"entfällt",VLOOKUP(2,INDIRECT($C$68),4,0),"")</f>
        <v>3</v>
      </c>
      <c r="F31" s="42">
        <v>5</v>
      </c>
      <c r="G31" s="71" t="str">
        <f>IF(H2&gt;12,"Wert - Abzug","entfällt")</f>
        <v>Wert - Abzug</v>
      </c>
      <c r="H31" s="66"/>
    </row>
    <row r="32" spans="1:8" outlineLevel="1" x14ac:dyDescent="0.35">
      <c r="A32" s="165" t="str">
        <f>IF($H$2&gt;10,"Verbindung Sprung 3","entfällt")</f>
        <v>Verbindung Sprung 3</v>
      </c>
      <c r="B32" s="166"/>
      <c r="C32" s="40" t="str">
        <f ca="1">IF(A32&lt;&gt;"entfällt",VLOOKUP(3,INDIRECT($C$68),2,0),"")</f>
        <v>12001°</v>
      </c>
      <c r="D32" s="40">
        <f ca="1">IF(A32&lt;&gt;"entfällt",VLOOKUP(3,INDIRECT($C$68),3,0),"")</f>
        <v>17</v>
      </c>
      <c r="E32" s="40">
        <f ca="1">IF(A32&lt;&gt;"entfällt",VLOOKUP(3,INDIRECT($C$68),4,0),"")</f>
        <v>3</v>
      </c>
      <c r="F32" s="42">
        <v>5</v>
      </c>
      <c r="G32" s="71" t="str">
        <f>IF(H2&gt;12,"Wert - Abzug","entfällt")</f>
        <v>Wert - Abzug</v>
      </c>
      <c r="H32" s="66"/>
    </row>
    <row r="33" spans="1:8" outlineLevel="1" x14ac:dyDescent="0.35">
      <c r="A33" s="165" t="str">
        <f>IF($H$2&gt;10,"Verbindung Sprung 4","entfällt")</f>
        <v>Verbindung Sprung 4</v>
      </c>
      <c r="B33" s="166"/>
      <c r="C33" s="40" t="str">
        <f ca="1">IF(A33&lt;&gt;"entfällt",VLOOKUP(4,INDIRECT($C$68),2,0),"")</f>
        <v>40/</v>
      </c>
      <c r="D33" s="40">
        <f ca="1">IF(A33&lt;&gt;"entfällt",VLOOKUP(4,INDIRECT($C$68),3,0),"")</f>
        <v>6</v>
      </c>
      <c r="E33" s="40">
        <f ca="1">IF(A33&lt;&gt;"entfällt",VLOOKUP(4,INDIRECT($C$68),4,0),"")</f>
        <v>3</v>
      </c>
      <c r="F33" s="42">
        <v>5</v>
      </c>
      <c r="G33" s="71" t="str">
        <f>IF(H2&gt;12,"Wert - Abzug","entfällt")</f>
        <v>Wert - Abzug</v>
      </c>
      <c r="H33" s="66"/>
    </row>
    <row r="34" spans="1:8" outlineLevel="1" x14ac:dyDescent="0.35">
      <c r="A34" s="165" t="str">
        <f>IF($H$2&gt;10,"Verbindung Sprung 5","entfällt")</f>
        <v>Verbindung Sprung 5</v>
      </c>
      <c r="B34" s="166"/>
      <c r="C34" s="40" t="str">
        <f ca="1">IF(A34&lt;&gt;"entfällt",VLOOKUP(5,INDIRECT($C$68),2,0),"")</f>
        <v>801&lt;</v>
      </c>
      <c r="D34" s="40">
        <f ca="1">IF(A34&lt;&gt;"entfällt",VLOOKUP(5,INDIRECT($C$68),3,0),"")</f>
        <v>13</v>
      </c>
      <c r="E34" s="40">
        <f ca="1">IF(A34&lt;&gt;"entfällt",VLOOKUP(5,INDIRECT($C$68),4,0),"")</f>
        <v>3</v>
      </c>
      <c r="F34" s="42">
        <v>5</v>
      </c>
      <c r="G34" s="71" t="str">
        <f>IF(H2&gt;12,"Wert - Abzug","entfällt")</f>
        <v>Wert - Abzug</v>
      </c>
      <c r="H34" s="66"/>
    </row>
    <row r="35" spans="1:8" ht="15" outlineLevel="1" thickBot="1" x14ac:dyDescent="0.4">
      <c r="A35" s="171" t="str">
        <f>IF($H$2&gt;10,"Verbindung Sprung 6","entfällt")</f>
        <v>Verbindung Sprung 6</v>
      </c>
      <c r="B35" s="172"/>
      <c r="C35" s="68" t="str">
        <f ca="1">IF(A35&lt;&gt;"entfällt",VLOOKUP(6,INDIRECT($C$68),2,0),"")</f>
        <v>822/</v>
      </c>
      <c r="D35" s="68">
        <f ca="1">IF(A35&lt;&gt;"entfällt",VLOOKUP(6,INDIRECT($C$68),3,0),"")</f>
        <v>16</v>
      </c>
      <c r="E35" s="68">
        <f ca="1">IF(A35&lt;&gt;"entfällt",VLOOKUP(6,INDIRECT($C$68),4,0),"")</f>
        <v>3</v>
      </c>
      <c r="F35" s="69">
        <v>5</v>
      </c>
      <c r="G35" s="72" t="str">
        <f>IF(H2&gt;12,"Wert - Abzug","entfällt")</f>
        <v>Wert - Abzug</v>
      </c>
      <c r="H35" s="70">
        <f>30-F30-F31-F32-F33-F34-F35</f>
        <v>0</v>
      </c>
    </row>
    <row r="36" spans="1:8" ht="15" thickBot="1" x14ac:dyDescent="0.4">
      <c r="A36" s="173" t="s">
        <v>41</v>
      </c>
      <c r="B36" s="174"/>
      <c r="C36" s="174"/>
      <c r="D36" s="174"/>
      <c r="E36" s="174"/>
      <c r="F36" s="174"/>
      <c r="G36" s="175"/>
      <c r="H36" s="89">
        <f>SUM(H20:H35)</f>
        <v>9.3999999999999773</v>
      </c>
    </row>
    <row r="37" spans="1:8" ht="15" outlineLevel="1" thickBot="1" x14ac:dyDescent="0.4">
      <c r="A37" s="181" t="s">
        <v>99</v>
      </c>
      <c r="B37" s="182"/>
      <c r="C37" s="182"/>
      <c r="D37" s="183"/>
      <c r="E37" s="85" t="s">
        <v>27</v>
      </c>
      <c r="F37" s="85" t="s">
        <v>237</v>
      </c>
      <c r="G37" s="86" t="s">
        <v>28</v>
      </c>
      <c r="H37" s="49" t="s">
        <v>234</v>
      </c>
    </row>
    <row r="38" spans="1:8" outlineLevel="1" x14ac:dyDescent="0.35">
      <c r="A38" s="179" t="str">
        <f ca="1">VLOOKUP(1,INDIRECT($C$65),2,0)</f>
        <v>Salto vorwärts gehockt aus dem Stand</v>
      </c>
      <c r="B38" s="180"/>
      <c r="C38" s="180"/>
      <c r="D38" s="180"/>
      <c r="E38" s="92">
        <f ca="1">VLOOKUP(1,INDIRECT($C$65),3,0)</f>
        <v>5</v>
      </c>
      <c r="F38" s="79"/>
      <c r="G38" s="80" t="s">
        <v>146</v>
      </c>
      <c r="H38" s="84">
        <f ca="1">IF(E38=" ","",IF(F38="",0,E38-F38))</f>
        <v>0</v>
      </c>
    </row>
    <row r="39" spans="1:8" outlineLevel="1" x14ac:dyDescent="0.35">
      <c r="A39" s="163" t="str">
        <f ca="1">VLOOKUP(2,INDIRECT($C$65),2,0)</f>
        <v>Vorspreizen, Bestellschritt, Strecksprung 3/2 Drehung</v>
      </c>
      <c r="B39" s="164"/>
      <c r="C39" s="164"/>
      <c r="D39" s="164"/>
      <c r="E39" s="87">
        <f ca="1">VLOOKUP(2,INDIRECT($C$65),3,0)</f>
        <v>3</v>
      </c>
      <c r="F39" s="43"/>
      <c r="G39" s="81" t="s">
        <v>146</v>
      </c>
      <c r="H39" s="84">
        <f t="shared" ref="H39:H49" ca="1" si="1">IF(E39=" ","",IF(F39="",0,E39-F39))</f>
        <v>0</v>
      </c>
    </row>
    <row r="40" spans="1:8" outlineLevel="1" x14ac:dyDescent="0.35">
      <c r="A40" s="163" t="str">
        <f ca="1">VLOOKUP(3,INDIRECT($C$65),2,0)</f>
        <v>Rolle rückwärts durch Handstand mit 1/2 Drehung</v>
      </c>
      <c r="B40" s="164"/>
      <c r="C40" s="164"/>
      <c r="D40" s="164"/>
      <c r="E40" s="87">
        <f ca="1">VLOOKUP(3,INDIRECT($C$65),3,0)</f>
        <v>4</v>
      </c>
      <c r="F40" s="43"/>
      <c r="G40" s="81" t="s">
        <v>146</v>
      </c>
      <c r="H40" s="84">
        <f t="shared" ca="1" si="1"/>
        <v>0</v>
      </c>
    </row>
    <row r="41" spans="1:8" outlineLevel="1" x14ac:dyDescent="0.35">
      <c r="A41" s="163" t="str">
        <f ca="1">VLOOKUP(4,INDIRECT($C$65),2,0)</f>
        <v>--&gt; Strecksprung --&gt; Salto vorwärts gehockt</v>
      </c>
      <c r="B41" s="164"/>
      <c r="C41" s="164"/>
      <c r="D41" s="164"/>
      <c r="E41" s="87">
        <f ca="1">VLOOKUP(4,INDIRECT($C$65),3,0)</f>
        <v>4</v>
      </c>
      <c r="F41" s="43"/>
      <c r="G41" s="81" t="s">
        <v>146</v>
      </c>
      <c r="H41" s="84">
        <f t="shared" ca="1" si="1"/>
        <v>0</v>
      </c>
    </row>
    <row r="42" spans="1:8" outlineLevel="1" x14ac:dyDescent="0.35">
      <c r="A42" s="163" t="str">
        <f ca="1">VLOOKUP(5,INDIRECT($C$65),2,0)</f>
        <v>Wiener, 1/2 Drehung, absenken zum Stand</v>
      </c>
      <c r="B42" s="164"/>
      <c r="C42" s="164"/>
      <c r="D42" s="164"/>
      <c r="E42" s="87">
        <f ca="1">VLOOKUP(5,INDIRECT($C$65),3,0)</f>
        <v>4</v>
      </c>
      <c r="F42" s="43"/>
      <c r="G42" s="81" t="s">
        <v>146</v>
      </c>
      <c r="H42" s="84">
        <f t="shared" ca="1" si="1"/>
        <v>0</v>
      </c>
    </row>
    <row r="43" spans="1:8" outlineLevel="1" x14ac:dyDescent="0.35">
      <c r="A43" s="163" t="str">
        <f ca="1">VLOOKUP(6,INDIRECT($C$65),2,0)</f>
        <v>Handstand mit zwei Hüpfern, abrollen</v>
      </c>
      <c r="B43" s="164"/>
      <c r="C43" s="164"/>
      <c r="D43" s="164"/>
      <c r="E43" s="87">
        <f ca="1">VLOOKUP(6,INDIRECT($C$65),3,0)</f>
        <v>2</v>
      </c>
      <c r="F43" s="43"/>
      <c r="G43" s="81" t="s">
        <v>146</v>
      </c>
      <c r="H43" s="84">
        <f t="shared" ca="1" si="1"/>
        <v>0</v>
      </c>
    </row>
    <row r="44" spans="1:8" outlineLevel="1" x14ac:dyDescent="0.35">
      <c r="A44" s="163" t="str">
        <f ca="1">VLOOKUP(7,INDIRECT($C$65),2,0)</f>
        <v>--&gt; aufstehen mit gestreckten Beinen</v>
      </c>
      <c r="B44" s="164"/>
      <c r="C44" s="164"/>
      <c r="D44" s="164"/>
      <c r="E44" s="87">
        <f ca="1">VLOOKUP(7,INDIRECT($C$65),3,0)</f>
        <v>3</v>
      </c>
      <c r="F44" s="43"/>
      <c r="G44" s="81" t="s">
        <v>146</v>
      </c>
      <c r="H44" s="84">
        <f t="shared" ca="1" si="1"/>
        <v>0</v>
      </c>
    </row>
    <row r="45" spans="1:8" outlineLevel="1" x14ac:dyDescent="0.35">
      <c r="A45" s="163" t="str">
        <f ca="1">VLOOKUP(8,INDIRECT($C$65),2,0)</f>
        <v>Salto rückwärts gebückt</v>
      </c>
      <c r="B45" s="164"/>
      <c r="C45" s="164"/>
      <c r="D45" s="164"/>
      <c r="E45" s="87">
        <f ca="1">VLOOKUP(8,INDIRECT($C$65),3,0)</f>
        <v>5</v>
      </c>
      <c r="F45" s="43"/>
      <c r="G45" s="81" t="s">
        <v>146</v>
      </c>
      <c r="H45" s="84">
        <f t="shared" ca="1" si="1"/>
        <v>0</v>
      </c>
    </row>
    <row r="46" spans="1:8" outlineLevel="1" x14ac:dyDescent="0.35">
      <c r="A46" s="163" t="str">
        <f ca="1">VLOOKUP(9,INDIRECT($C$65),2,0)</f>
        <v xml:space="preserve"> </v>
      </c>
      <c r="B46" s="164"/>
      <c r="C46" s="164"/>
      <c r="D46" s="164"/>
      <c r="E46" s="87" t="str">
        <f ca="1">VLOOKUP(9,INDIRECT($C$65),3,0)</f>
        <v xml:space="preserve"> </v>
      </c>
      <c r="F46" s="43"/>
      <c r="G46" s="81" t="str">
        <f>IF(H2&gt;16,"","Wert - Abzug")</f>
        <v/>
      </c>
      <c r="H46" s="84" t="str">
        <f t="shared" ca="1" si="1"/>
        <v/>
      </c>
    </row>
    <row r="47" spans="1:8" outlineLevel="1" x14ac:dyDescent="0.35">
      <c r="A47" s="163" t="str">
        <f ca="1">VLOOKUP(10,INDIRECT($C$65),2,0)</f>
        <v xml:space="preserve"> </v>
      </c>
      <c r="B47" s="164"/>
      <c r="C47" s="164"/>
      <c r="D47" s="164"/>
      <c r="E47" s="87" t="str">
        <f ca="1">VLOOKUP(10,INDIRECT($C$65),3,0)</f>
        <v xml:space="preserve"> </v>
      </c>
      <c r="F47" s="43"/>
      <c r="G47" s="81" t="str">
        <f>IF(H2&gt;16,"","Wert - Abzug")</f>
        <v/>
      </c>
      <c r="H47" s="84" t="str">
        <f t="shared" ca="1" si="1"/>
        <v/>
      </c>
    </row>
    <row r="48" spans="1:8" outlineLevel="1" x14ac:dyDescent="0.35">
      <c r="A48" s="163" t="str">
        <f ca="1">VLOOKUP(11,INDIRECT($C$65),2,0)</f>
        <v xml:space="preserve"> </v>
      </c>
      <c r="B48" s="164"/>
      <c r="C48" s="164"/>
      <c r="D48" s="164"/>
      <c r="E48" s="87" t="str">
        <f ca="1">VLOOKUP(11,INDIRECT($C$65),3,0)</f>
        <v xml:space="preserve"> </v>
      </c>
      <c r="F48" s="43"/>
      <c r="G48" s="81" t="str">
        <f>IF(H2&gt;13,"","Wert - Abzug")</f>
        <v/>
      </c>
      <c r="H48" s="84" t="str">
        <f t="shared" ca="1" si="1"/>
        <v/>
      </c>
    </row>
    <row r="49" spans="1:8" ht="15" outlineLevel="1" thickBot="1" x14ac:dyDescent="0.4">
      <c r="A49" s="184" t="str">
        <f ca="1">VLOOKUP(12,INDIRECT($C$65),2,0)</f>
        <v xml:space="preserve"> </v>
      </c>
      <c r="B49" s="185"/>
      <c r="C49" s="185"/>
      <c r="D49" s="185"/>
      <c r="E49" s="93" t="str">
        <f ca="1">VLOOKUP(12,INDIRECT($C$65),3,0)</f>
        <v xml:space="preserve"> </v>
      </c>
      <c r="F49" s="82"/>
      <c r="G49" s="83" t="str">
        <f>IF(OR(H2=9,H2=12,H2=13),"Wert - Abzug","")</f>
        <v/>
      </c>
      <c r="H49" s="84" t="str">
        <f t="shared" ca="1" si="1"/>
        <v/>
      </c>
    </row>
    <row r="50" spans="1:8" ht="15" thickBot="1" x14ac:dyDescent="0.4">
      <c r="A50" s="176" t="s">
        <v>98</v>
      </c>
      <c r="B50" s="177"/>
      <c r="C50" s="177"/>
      <c r="D50" s="177"/>
      <c r="E50" s="177"/>
      <c r="F50" s="177"/>
      <c r="G50" s="178"/>
      <c r="H50" s="44">
        <f ca="1">SUM(H38:H49)</f>
        <v>0</v>
      </c>
    </row>
    <row r="51" spans="1:8" ht="16" thickBot="1" x14ac:dyDescent="0.4">
      <c r="A51" s="169" t="s">
        <v>42</v>
      </c>
      <c r="B51" s="170"/>
      <c r="C51" s="170"/>
      <c r="D51" s="170"/>
      <c r="E51" s="170"/>
      <c r="F51" s="170"/>
      <c r="G51" s="170"/>
      <c r="H51" s="94">
        <f ca="1">SUM(H9,H18,H36,H50)</f>
        <v>95.399999999999977</v>
      </c>
    </row>
    <row r="52" spans="1:8" s="23" customFormat="1" x14ac:dyDescent="0.35">
      <c r="D52" s="50"/>
      <c r="E52" s="50"/>
      <c r="F52" s="50"/>
      <c r="G52" s="50"/>
    </row>
    <row r="53" spans="1:8" s="23" customFormat="1" hidden="1" x14ac:dyDescent="0.35">
      <c r="C53" s="24"/>
      <c r="D53" s="50"/>
      <c r="E53" s="50"/>
      <c r="F53" s="50"/>
      <c r="G53" s="50"/>
    </row>
    <row r="54" spans="1:8" s="23" customFormat="1" hidden="1" x14ac:dyDescent="0.35">
      <c r="B54" s="23" t="s">
        <v>249</v>
      </c>
      <c r="C54" s="23" t="str">
        <f>IF(H2&lt;13,"beide",F1)</f>
        <v>männlich</v>
      </c>
      <c r="D54" s="50"/>
      <c r="E54" s="50"/>
      <c r="F54" s="50"/>
      <c r="G54" s="50"/>
    </row>
    <row r="55" spans="1:8" s="23" customFormat="1" hidden="1" x14ac:dyDescent="0.35">
      <c r="B55" s="23" t="s">
        <v>3</v>
      </c>
      <c r="C55" s="23">
        <f>IF(OR(H2=8,H2=11),H2,IF(H2&lt;11,"9_10",IF(H2&lt;14,"12_13",IF(H2&lt;16,"14_15",IF(H2&lt;18,"16_17",18)))))</f>
        <v>18</v>
      </c>
      <c r="D55" s="50"/>
      <c r="E55" s="50"/>
      <c r="F55" s="50"/>
      <c r="G55" s="50"/>
    </row>
    <row r="56" spans="1:8" s="23" customFormat="1" hidden="1" x14ac:dyDescent="0.35">
      <c r="D56" s="50"/>
      <c r="E56" s="50"/>
      <c r="F56" s="50"/>
      <c r="G56" s="50"/>
    </row>
    <row r="57" spans="1:8" s="23" customFormat="1" hidden="1" x14ac:dyDescent="0.35">
      <c r="B57" s="23" t="s">
        <v>251</v>
      </c>
      <c r="C57" s="23" t="str">
        <f>"TBN_"&amp;C54&amp;"_"&amp;C55</f>
        <v>TBN_männlich_18</v>
      </c>
      <c r="D57" s="50"/>
      <c r="E57" s="50"/>
      <c r="F57" s="50"/>
      <c r="G57" s="50"/>
    </row>
    <row r="58" spans="1:8" s="23" customFormat="1" hidden="1" x14ac:dyDescent="0.35">
      <c r="C58" s="23" t="str">
        <f>C57&amp;"[Beschreibung]"</f>
        <v>TBN_männlich_18[Beschreibung]</v>
      </c>
      <c r="D58" s="50"/>
      <c r="E58" s="50"/>
      <c r="F58" s="50"/>
      <c r="G58" s="50"/>
    </row>
    <row r="59" spans="1:8" s="23" customFormat="1" hidden="1" x14ac:dyDescent="0.35">
      <c r="D59" s="50"/>
      <c r="E59" s="50"/>
      <c r="F59" s="50"/>
      <c r="G59" s="50"/>
    </row>
    <row r="60" spans="1:8" s="23" customFormat="1" hidden="1" x14ac:dyDescent="0.35">
      <c r="B60" s="23" t="s">
        <v>147</v>
      </c>
      <c r="C60" s="23" t="str">
        <f>"TN_"&amp;C54&amp;"_"&amp;C55</f>
        <v>TN_männlich_18</v>
      </c>
      <c r="D60" s="50"/>
      <c r="E60" s="50"/>
      <c r="F60" s="50"/>
      <c r="G60" s="50"/>
    </row>
    <row r="61" spans="1:8" s="23" customFormat="1" hidden="1" x14ac:dyDescent="0.35">
      <c r="C61" s="23" t="str">
        <f>C60&amp;"[Beschreibung]"</f>
        <v>TN_männlich_18[Beschreibung]</v>
      </c>
      <c r="D61" s="50"/>
      <c r="E61" s="50"/>
      <c r="F61" s="50"/>
      <c r="G61" s="50"/>
    </row>
    <row r="62" spans="1:8" s="23" customFormat="1" hidden="1" x14ac:dyDescent="0.35">
      <c r="D62" s="50"/>
      <c r="E62" s="50"/>
      <c r="F62" s="50"/>
      <c r="G62" s="50"/>
    </row>
    <row r="63" spans="1:8" s="23" customFormat="1" hidden="1" x14ac:dyDescent="0.35">
      <c r="B63" s="23" t="s">
        <v>17</v>
      </c>
      <c r="C63" s="23" t="str">
        <f>"TV_"&amp;F1&amp;"_"&amp;C55</f>
        <v>TV_männlich_18</v>
      </c>
      <c r="D63" s="50"/>
      <c r="E63" s="50"/>
      <c r="F63" s="50"/>
      <c r="G63" s="50"/>
    </row>
    <row r="64" spans="1:8" s="23" customFormat="1" hidden="1" x14ac:dyDescent="0.35">
      <c r="D64" s="50"/>
      <c r="E64" s="50"/>
      <c r="F64" s="50"/>
      <c r="G64" s="50"/>
    </row>
    <row r="65" spans="2:7" s="23" customFormat="1" hidden="1" x14ac:dyDescent="0.35">
      <c r="B65" s="23" t="s">
        <v>252</v>
      </c>
      <c r="C65" s="23" t="str">
        <f>"BKÜ"&amp;IF(H2=9,"_9",IF(H2&lt;12,"_10_11",IF(H2&lt;14,"_12_13",IF(H2&lt;17,"_14_16","_17"))))</f>
        <v>BKÜ_17</v>
      </c>
      <c r="D65" s="50"/>
      <c r="E65" s="50"/>
      <c r="F65" s="50"/>
      <c r="G65" s="50"/>
    </row>
    <row r="66" spans="2:7" s="23" customFormat="1" hidden="1" x14ac:dyDescent="0.35">
      <c r="D66" s="50"/>
      <c r="E66" s="50"/>
      <c r="F66" s="50"/>
      <c r="G66" s="50"/>
    </row>
    <row r="67" spans="2:7" s="23" customFormat="1" hidden="1" x14ac:dyDescent="0.35">
      <c r="B67" s="23" t="s">
        <v>250</v>
      </c>
      <c r="C67" s="23" t="str">
        <f>IF(H2&lt;17,"beide",F1)</f>
        <v>männlich</v>
      </c>
      <c r="D67" s="50"/>
      <c r="E67" s="50"/>
      <c r="F67" s="50"/>
      <c r="G67" s="50"/>
    </row>
    <row r="68" spans="2:7" s="23" customFormat="1" hidden="1" x14ac:dyDescent="0.35">
      <c r="B68" s="23" t="s">
        <v>17</v>
      </c>
      <c r="C68" s="23" t="str">
        <f>"TV_"&amp;C67&amp;"_"&amp;C55</f>
        <v>TV_männlich_18</v>
      </c>
      <c r="D68" s="50"/>
      <c r="E68" s="50"/>
      <c r="F68" s="50"/>
      <c r="G68" s="50"/>
    </row>
    <row r="69" spans="2:7" x14ac:dyDescent="0.35"/>
    <row r="70" spans="2:7" x14ac:dyDescent="0.35"/>
  </sheetData>
  <sheetProtection selectLockedCells="1"/>
  <protectedRanges>
    <protectedRange sqref="H1:H2 F1:F2 B1:B2" name="Athletendaten"/>
    <protectedRange sqref="F38:F49 C20:F35 D69:E440 C69:C441 F4:F8 C38:E68 C11:E16 F11:F17" name="Werte und Varianten"/>
    <protectedRange algorithmName="SHA-512" hashValue="EtPG7jm6pk6JVG08ToKZL4Sto4PS6TOUsygvFmj6DTfcGnX6DwKdfjTEg/2X1Hwnu/CwfNhBUSnXKs/oLqcupQ==" saltValue="sPse4fdTsI5OFESYvRIl8Q==" spinCount="100000" sqref="H4:H8 H38:H49 H20:H35 H11:H17" name="Punktzahlen"/>
  </protectedRanges>
  <mergeCells count="44">
    <mergeCell ref="A12:E12"/>
    <mergeCell ref="B1:E1"/>
    <mergeCell ref="B2:F2"/>
    <mergeCell ref="A3:E3"/>
    <mergeCell ref="A4:E4"/>
    <mergeCell ref="A5:E5"/>
    <mergeCell ref="A6:E6"/>
    <mergeCell ref="A7:E7"/>
    <mergeCell ref="A8:E8"/>
    <mergeCell ref="A9:G9"/>
    <mergeCell ref="A10:E10"/>
    <mergeCell ref="A11:E11"/>
    <mergeCell ref="A31:B31"/>
    <mergeCell ref="A13:E13"/>
    <mergeCell ref="A14:E14"/>
    <mergeCell ref="A15:E15"/>
    <mergeCell ref="A16:E16"/>
    <mergeCell ref="A18:G18"/>
    <mergeCell ref="A19:C19"/>
    <mergeCell ref="A20:B20"/>
    <mergeCell ref="A21:B21"/>
    <mergeCell ref="A22:B22"/>
    <mergeCell ref="A23:B23"/>
    <mergeCell ref="A30:B30"/>
    <mergeCell ref="A43:D43"/>
    <mergeCell ref="A32:B32"/>
    <mergeCell ref="A33:B33"/>
    <mergeCell ref="A34:B34"/>
    <mergeCell ref="A35:B35"/>
    <mergeCell ref="A36:G36"/>
    <mergeCell ref="A37:D37"/>
    <mergeCell ref="A38:D38"/>
    <mergeCell ref="A39:D39"/>
    <mergeCell ref="A40:D40"/>
    <mergeCell ref="A41:D41"/>
    <mergeCell ref="A42:D42"/>
    <mergeCell ref="A50:G50"/>
    <mergeCell ref="A51:G51"/>
    <mergeCell ref="A44:D44"/>
    <mergeCell ref="A45:D45"/>
    <mergeCell ref="A46:D46"/>
    <mergeCell ref="A47:D47"/>
    <mergeCell ref="A48:D48"/>
    <mergeCell ref="A49:D49"/>
  </mergeCells>
  <conditionalFormatting sqref="F46:F49">
    <cfRule type="expression" dxfId="292" priority="3">
      <formula>$A46=" "</formula>
    </cfRule>
  </conditionalFormatting>
  <conditionalFormatting sqref="B24:B29 C21:E29">
    <cfRule type="expression" dxfId="291" priority="2">
      <formula>$A21="entfällt"</formula>
    </cfRule>
    <cfRule type="expression" dxfId="290" priority="4">
      <formula>$H$2&gt;14</formula>
    </cfRule>
  </conditionalFormatting>
  <conditionalFormatting sqref="B24:B29">
    <cfRule type="expression" dxfId="289" priority="1">
      <formula>AND($A24="TN",$C24&lt;&gt;"")</formula>
    </cfRule>
  </conditionalFormatting>
  <dataValidations count="19">
    <dataValidation type="decimal" errorStyle="warning" allowBlank="1" showInputMessage="1" showErrorMessage="1" error="Eingegebener Abzug überschreitet maximal zulässigen Abzug, Wert bitte überprüfen!" sqref="F21:F35" xr:uid="{1747C687-E1B9-42EA-85B0-C3514EC24DB7}">
      <formula1>0</formula1>
      <formula2>$E21</formula2>
    </dataValidation>
    <dataValidation type="list" allowBlank="1" showInputMessage="1" showErrorMessage="1" sqref="C20" xr:uid="{21AD3D55-AD65-45C6-A055-A9AEA9696ED5}">
      <formula1>"Lichtschranke,Druckmessplatte"</formula1>
    </dataValidation>
    <dataValidation type="whole" allowBlank="1" showInputMessage="1" showErrorMessage="1" errorTitle="Falsche Eingabe" error="Bitte Wert prüfen" sqref="D17" xr:uid="{128C9F86-0970-4E5F-A911-1E9B81200A1B}">
      <formula1>1</formula1>
      <formula2>13</formula2>
    </dataValidation>
    <dataValidation type="list" allowBlank="1" showInputMessage="1" sqref="C24:C29" xr:uid="{417A6D5E-C5B3-4899-ADA0-98ED7DA4924E}">
      <formula1>INDIRECT($C$61)</formula1>
    </dataValidation>
    <dataValidation type="list" allowBlank="1" showInputMessage="1" sqref="C21:C23" xr:uid="{778BA0CA-15F0-4A0A-AD88-AD177A827B49}">
      <formula1>INDIRECT($C$58)</formula1>
    </dataValidation>
    <dataValidation allowBlank="1" showInputMessage="1" showErrorMessage="1" prompt="Anzahl der Wiederholungen" sqref="F11" xr:uid="{498AA034-9D14-4596-952B-FDA8359F1AEF}"/>
    <dataValidation type="whole" allowBlank="1" showInputMessage="1" showErrorMessage="1" prompt="Abstand von der Oberkante des Turnhockers zur schlechtesten Fingerspitze in cm" sqref="F6" xr:uid="{3DD17C74-30D5-42A5-A34F-19A4C478B33E}">
      <formula1>-50</formula1>
      <formula2>50</formula2>
    </dataValidation>
    <dataValidation type="list" allowBlank="1" showInputMessage="1" showErrorMessage="1" prompt="Punktzahl nach Vergleich mit Bild" sqref="F5" xr:uid="{28136F99-71A0-4944-81F1-92AE89A6551C}">
      <formula1>"0,2,6,10"</formula1>
    </dataValidation>
    <dataValidation type="whole" allowBlank="1" showErrorMessage="1" errorTitle="Falsche Eingabe" error="Bitte Wert prüfen" prompt="Höchste erreichte Stufe" sqref="F17" xr:uid="{8758D947-87A9-442A-AA1E-AECAF930A627}">
      <formula1>1</formula1>
      <formula2>11</formula2>
    </dataValidation>
    <dataValidation allowBlank="1" sqref="D20:E20" xr:uid="{557CF095-3761-4292-A6BA-13C547418D64}"/>
    <dataValidation type="decimal" errorStyle="warning" allowBlank="1" showInputMessage="1" showErrorMessage="1" error="Abzug höher als Wert des Elements, bitte überprüfen!" prompt="Abzug" sqref="F38:F49" xr:uid="{FA61C28F-9B35-4CA8-A25C-4ACFF5BE6525}">
      <formula1>0</formula1>
      <formula2>$E38</formula2>
    </dataValidation>
    <dataValidation type="whole" allowBlank="1" showInputMessage="1" showErrorMessage="1" prompt="AKs 9 - 13: Übersprungene Kästchen_x000a__x000a_AKs 14 - 21: Anzahl Saltos" sqref="F15" xr:uid="{8DC5769D-DEFA-4021-BBC6-FB3BE4B65066}">
      <formula1>0</formula1>
      <formula2>50</formula2>
    </dataValidation>
    <dataValidation type="list" allowBlank="1" showInputMessage="1" showErrorMessage="1" sqref="F1" xr:uid="{B06CEF48-80A4-4197-8C21-62B30B19265F}">
      <formula1>"männlich,weiblich"</formula1>
    </dataValidation>
    <dataValidation type="whole" allowBlank="1" showInputMessage="1" showErrorMessage="1" sqref="H4:H8" xr:uid="{14F40FBA-6CE1-4226-975E-762449F71C56}">
      <formula1>0</formula1>
      <formula2>10</formula2>
    </dataValidation>
    <dataValidation type="whole" allowBlank="1" showInputMessage="1" showErrorMessage="1" prompt="Haltezeit in Sekunden" sqref="F13" xr:uid="{6264195A-F768-45B8-A6B0-A2E99C4F28BD}">
      <formula1>0</formula1>
      <formula2>200</formula2>
    </dataValidation>
    <dataValidation type="whole" allowBlank="1" showInputMessage="1" showErrorMessage="1" prompt="Haltezeit in Sekunden" sqref="F16" xr:uid="{05BE53CA-BEE4-4291-864B-0385974A9EFD}">
      <formula1>0</formula1>
      <formula2>100</formula2>
    </dataValidation>
    <dataValidation type="whole" allowBlank="1" showInputMessage="1" showErrorMessage="1" prompt="Anzahl der Wiederholungen" sqref="F14 F12" xr:uid="{0A3FB677-AD26-4635-A432-56487172242C}">
      <formula1>0</formula1>
      <formula2>50</formula2>
    </dataValidation>
    <dataValidation type="list" operator="equal" allowBlank="1" showInputMessage="1" showErrorMessage="1" prompt="Punktzahl nach Vergleich mit Bild" sqref="F4" xr:uid="{BEB7135B-1ED4-42EF-8D61-4CC9E53DFE42}">
      <formula1>"0,2,6,10"</formula1>
    </dataValidation>
    <dataValidation type="decimal" errorStyle="warning" showDropDown="1" showErrorMessage="1" error="Wert unrealistisch hoch, bitte Eingabe überprüfen" promptTitle="Vorsicht" sqref="F20" xr:uid="{9FF6AAAC-44EB-4533-AF70-F4DE92DE6339}">
      <formula1>0</formula1>
      <formula2>30</formula2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Bitte Werte aus Dropdown auswählen" prompt="Abstand vom Boden laut Schablone" xr:uid="{8AFA6304-38CC-4A09-9A7F-18E827EE0B2B}">
          <x14:formula1>
            <xm:f>Punktetabellen!$A$3:$A$6</xm:f>
          </x14:formula1>
          <xm:sqref>F7:F8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182D2-48E2-4EB6-8431-062639E97533}">
  <sheetPr codeName="Tabelle33">
    <tabColor indexed="44"/>
    <pageSetUpPr fitToPage="1"/>
  </sheetPr>
  <dimension ref="A1:J70"/>
  <sheetViews>
    <sheetView zoomScale="85" zoomScaleNormal="85" workbookViewId="0">
      <pane ySplit="2" topLeftCell="A32" activePane="bottomLeft" state="frozen"/>
      <selection sqref="A1:H1"/>
      <selection pane="bottomLeft" activeCell="F20" sqref="F20"/>
    </sheetView>
  </sheetViews>
  <sheetFormatPr baseColWidth="10" defaultColWidth="0" defaultRowHeight="14.5" zeroHeight="1" outlineLevelRow="1" x14ac:dyDescent="0.35"/>
  <cols>
    <col min="1" max="1" width="11.453125" customWidth="1"/>
    <col min="2" max="2" width="12.1796875" customWidth="1"/>
    <col min="3" max="3" width="44.81640625" bestFit="1" customWidth="1"/>
    <col min="4" max="5" width="11.453125" style="154" customWidth="1"/>
    <col min="6" max="6" width="16.1796875" style="154" bestFit="1" customWidth="1"/>
    <col min="7" max="7" width="13.81640625" style="154" customWidth="1"/>
    <col min="8" max="8" width="11.453125" customWidth="1"/>
    <col min="9" max="9" width="6.1796875" style="23" hidden="1" customWidth="1"/>
    <col min="10" max="10" width="0" hidden="1" customWidth="1"/>
    <col min="11" max="16384" width="11.453125" hidden="1"/>
  </cols>
  <sheetData>
    <row r="1" spans="1:8" ht="15.5" x14ac:dyDescent="0.35">
      <c r="A1" s="16" t="s">
        <v>1</v>
      </c>
      <c r="B1" s="186" t="s">
        <v>395</v>
      </c>
      <c r="C1" s="187"/>
      <c r="D1" s="187"/>
      <c r="E1" s="188"/>
      <c r="F1" s="51" t="s">
        <v>96</v>
      </c>
      <c r="G1" s="61" t="s">
        <v>24</v>
      </c>
      <c r="H1" s="63">
        <v>2007</v>
      </c>
    </row>
    <row r="2" spans="1:8" ht="16" thickBot="1" x14ac:dyDescent="0.4">
      <c r="A2" s="17" t="s">
        <v>4</v>
      </c>
      <c r="B2" s="198" t="s">
        <v>396</v>
      </c>
      <c r="C2" s="199"/>
      <c r="D2" s="199"/>
      <c r="E2" s="199"/>
      <c r="F2" s="200"/>
      <c r="G2" s="62" t="s">
        <v>3</v>
      </c>
      <c r="H2" s="64">
        <f>2022-H1</f>
        <v>15</v>
      </c>
    </row>
    <row r="3" spans="1:8" ht="15" outlineLevel="1" thickBot="1" x14ac:dyDescent="0.4">
      <c r="A3" s="189" t="s">
        <v>26</v>
      </c>
      <c r="B3" s="190"/>
      <c r="C3" s="190"/>
      <c r="D3" s="190"/>
      <c r="E3" s="191"/>
      <c r="F3" s="46" t="s">
        <v>27</v>
      </c>
      <c r="G3" s="47" t="s">
        <v>28</v>
      </c>
      <c r="H3" s="22" t="s">
        <v>234</v>
      </c>
    </row>
    <row r="4" spans="1:8" outlineLevel="1" x14ac:dyDescent="0.35">
      <c r="A4" s="192" t="s">
        <v>30</v>
      </c>
      <c r="B4" s="193"/>
      <c r="C4" s="193"/>
      <c r="D4" s="193"/>
      <c r="E4" s="194"/>
      <c r="F4" s="25">
        <v>10</v>
      </c>
      <c r="G4" s="55" t="s">
        <v>32</v>
      </c>
      <c r="H4" s="34">
        <f>F4</f>
        <v>10</v>
      </c>
    </row>
    <row r="5" spans="1:8" outlineLevel="1" x14ac:dyDescent="0.35">
      <c r="A5" s="195" t="s">
        <v>85</v>
      </c>
      <c r="B5" s="196"/>
      <c r="C5" s="196"/>
      <c r="D5" s="196"/>
      <c r="E5" s="197"/>
      <c r="F5" s="14">
        <v>10</v>
      </c>
      <c r="G5" s="56" t="s">
        <v>32</v>
      </c>
      <c r="H5" s="35">
        <f>F5</f>
        <v>10</v>
      </c>
    </row>
    <row r="6" spans="1:8" outlineLevel="1" x14ac:dyDescent="0.35">
      <c r="A6" s="195" t="s">
        <v>33</v>
      </c>
      <c r="B6" s="196"/>
      <c r="C6" s="196"/>
      <c r="D6" s="196"/>
      <c r="E6" s="197"/>
      <c r="F6" s="14">
        <v>20</v>
      </c>
      <c r="G6" s="56" t="s">
        <v>31</v>
      </c>
      <c r="H6" s="35">
        <f>IF(F6="",0,VLOOKUP(F6,Punktetabellen!A10:B15,2,1))</f>
        <v>10</v>
      </c>
    </row>
    <row r="7" spans="1:8" outlineLevel="1" x14ac:dyDescent="0.35">
      <c r="A7" s="195" t="s">
        <v>34</v>
      </c>
      <c r="B7" s="196"/>
      <c r="C7" s="196"/>
      <c r="D7" s="196"/>
      <c r="E7" s="197"/>
      <c r="F7" s="14">
        <v>0</v>
      </c>
      <c r="G7" s="56" t="s">
        <v>31</v>
      </c>
      <c r="H7" s="35">
        <f>IF(F7="",0,VLOOKUP(F7,Punktetabellen!A3:B6,2,0))</f>
        <v>5</v>
      </c>
    </row>
    <row r="8" spans="1:8" ht="15" outlineLevel="1" thickBot="1" x14ac:dyDescent="0.4">
      <c r="A8" s="204" t="s">
        <v>35</v>
      </c>
      <c r="B8" s="205"/>
      <c r="C8" s="205"/>
      <c r="D8" s="205"/>
      <c r="E8" s="206"/>
      <c r="F8" s="41">
        <v>0</v>
      </c>
      <c r="G8" s="57" t="s">
        <v>31</v>
      </c>
      <c r="H8" s="36">
        <f>IF(F8="",0,VLOOKUP(F8,Punktetabellen!A3:B6,2,0))</f>
        <v>5</v>
      </c>
    </row>
    <row r="9" spans="1:8" ht="15" thickBot="1" x14ac:dyDescent="0.4">
      <c r="A9" s="210" t="s">
        <v>36</v>
      </c>
      <c r="B9" s="211"/>
      <c r="C9" s="211"/>
      <c r="D9" s="211"/>
      <c r="E9" s="211"/>
      <c r="F9" s="211"/>
      <c r="G9" s="211"/>
      <c r="H9" s="48">
        <f>SUM(H4:H8)</f>
        <v>40</v>
      </c>
    </row>
    <row r="10" spans="1:8" ht="15" outlineLevel="1" thickBot="1" x14ac:dyDescent="0.4">
      <c r="A10" s="189" t="s">
        <v>26</v>
      </c>
      <c r="B10" s="190"/>
      <c r="C10" s="190"/>
      <c r="D10" s="190"/>
      <c r="E10" s="191"/>
      <c r="F10" s="46" t="s">
        <v>27</v>
      </c>
      <c r="G10" s="47" t="s">
        <v>28</v>
      </c>
      <c r="H10" s="22" t="s">
        <v>234</v>
      </c>
    </row>
    <row r="11" spans="1:8" outlineLevel="1" x14ac:dyDescent="0.35">
      <c r="A11" s="207" t="s">
        <v>37</v>
      </c>
      <c r="B11" s="208"/>
      <c r="C11" s="208"/>
      <c r="D11" s="208"/>
      <c r="E11" s="209"/>
      <c r="F11" s="26">
        <v>8</v>
      </c>
      <c r="G11" s="58" t="s">
        <v>31</v>
      </c>
      <c r="H11" s="37">
        <f>IF($F11="",0,VLOOKUP($F11,Pkte_Klimmzug[],$H$2,1))</f>
        <v>5</v>
      </c>
    </row>
    <row r="12" spans="1:8" outlineLevel="1" x14ac:dyDescent="0.35">
      <c r="A12" s="201" t="s">
        <v>38</v>
      </c>
      <c r="B12" s="202"/>
      <c r="C12" s="202"/>
      <c r="D12" s="202"/>
      <c r="E12" s="203"/>
      <c r="F12" s="27">
        <v>5</v>
      </c>
      <c r="G12" s="59" t="s">
        <v>31</v>
      </c>
      <c r="H12" s="38">
        <f>IF($F12="",0,VLOOKUP($F12,Pkte_Beinheben[],$H$2,1))</f>
        <v>3</v>
      </c>
    </row>
    <row r="13" spans="1:8" outlineLevel="1" x14ac:dyDescent="0.35">
      <c r="A13" s="201" t="s">
        <v>88</v>
      </c>
      <c r="B13" s="202"/>
      <c r="C13" s="202"/>
      <c r="D13" s="202"/>
      <c r="E13" s="203"/>
      <c r="F13" s="27">
        <v>64</v>
      </c>
      <c r="G13" s="59" t="s">
        <v>31</v>
      </c>
      <c r="H13" s="38">
        <f>IF($F13="",0,VLOOKUP($F13,Pkte_Flieger[],$H$2,1))</f>
        <v>0</v>
      </c>
    </row>
    <row r="14" spans="1:8" outlineLevel="1" x14ac:dyDescent="0.35">
      <c r="A14" s="201" t="s">
        <v>39</v>
      </c>
      <c r="B14" s="202"/>
      <c r="C14" s="202"/>
      <c r="D14" s="202"/>
      <c r="E14" s="203"/>
      <c r="F14" s="27">
        <v>29</v>
      </c>
      <c r="G14" s="59" t="s">
        <v>31</v>
      </c>
      <c r="H14" s="38">
        <f>IF($F14="",0,VLOOKUP($F14,Pkte_Rollenverbindung[],$H$2,1))</f>
        <v>10</v>
      </c>
    </row>
    <row r="15" spans="1:8" outlineLevel="1" x14ac:dyDescent="0.35">
      <c r="A15" s="201" t="s">
        <v>89</v>
      </c>
      <c r="B15" s="202"/>
      <c r="C15" s="202"/>
      <c r="D15" s="202"/>
      <c r="E15" s="203"/>
      <c r="F15" s="27">
        <v>10</v>
      </c>
      <c r="G15" s="59" t="s">
        <v>31</v>
      </c>
      <c r="H15" s="38">
        <f>IF($F15="",0,VLOOKUP($F15,Pkte_Prellsprung[],$H$2,1))</f>
        <v>10</v>
      </c>
    </row>
    <row r="16" spans="1:8" outlineLevel="1" x14ac:dyDescent="0.35">
      <c r="A16" s="201" t="s">
        <v>90</v>
      </c>
      <c r="B16" s="202"/>
      <c r="C16" s="202"/>
      <c r="D16" s="202"/>
      <c r="E16" s="203"/>
      <c r="F16" s="28">
        <v>30</v>
      </c>
      <c r="G16" s="59" t="s">
        <v>31</v>
      </c>
      <c r="H16" s="38">
        <f>IF($F16="",0,VLOOKUP($F16,Pkte_Handstand[],$H$2,1))</f>
        <v>10</v>
      </c>
    </row>
    <row r="17" spans="1:8" ht="15" outlineLevel="1" thickBot="1" x14ac:dyDescent="0.4">
      <c r="A17" s="112" t="s">
        <v>93</v>
      </c>
      <c r="B17" s="113"/>
      <c r="C17" s="114" t="s">
        <v>269</v>
      </c>
      <c r="D17" s="29">
        <v>10</v>
      </c>
      <c r="E17" s="115" t="s">
        <v>270</v>
      </c>
      <c r="F17" s="29">
        <v>1</v>
      </c>
      <c r="G17" s="60" t="s">
        <v>31</v>
      </c>
      <c r="H17" s="39">
        <f>IF($F17="",0,IF($F$1="weiblich",VLOOKUP((100*$D17+$F17),Pkte_Shuttle_W[],$H$2,1),VLOOKUP((100*$D17+$F17),Pkte_Shuttle_M[],$H$2,1)))</f>
        <v>6</v>
      </c>
    </row>
    <row r="18" spans="1:8" ht="15" thickBot="1" x14ac:dyDescent="0.4">
      <c r="A18" s="161" t="s">
        <v>40</v>
      </c>
      <c r="B18" s="162"/>
      <c r="C18" s="162"/>
      <c r="D18" s="162"/>
      <c r="E18" s="162"/>
      <c r="F18" s="162"/>
      <c r="G18" s="162"/>
      <c r="H18" s="48">
        <f>SUM(H11:H17)</f>
        <v>44</v>
      </c>
    </row>
    <row r="19" spans="1:8" ht="15" outlineLevel="1" thickBot="1" x14ac:dyDescent="0.4">
      <c r="A19" s="159" t="s">
        <v>26</v>
      </c>
      <c r="B19" s="160"/>
      <c r="C19" s="160"/>
      <c r="D19" s="85" t="s">
        <v>235</v>
      </c>
      <c r="E19" s="85" t="s">
        <v>238</v>
      </c>
      <c r="F19" s="85" t="s">
        <v>236</v>
      </c>
      <c r="G19" s="86" t="s">
        <v>28</v>
      </c>
      <c r="H19" s="49" t="s">
        <v>234</v>
      </c>
    </row>
    <row r="20" spans="1:8" outlineLevel="1" x14ac:dyDescent="0.35">
      <c r="A20" s="167" t="s">
        <v>148</v>
      </c>
      <c r="B20" s="168"/>
      <c r="C20" s="116" t="s">
        <v>277</v>
      </c>
      <c r="D20" s="90">
        <f>IF(F1="männlich",VLOOKUP(H2,Standsprünge!A3:C15,3,0),VLOOKUP(H2,Standsprünge!A3:B15,2,0))+IF(C20="Druckmessplatte",0)</f>
        <v>16.399999999999999</v>
      </c>
      <c r="E20" s="90"/>
      <c r="F20" s="67">
        <v>17.46</v>
      </c>
      <c r="G20" s="91" t="s">
        <v>149</v>
      </c>
      <c r="H20" s="88">
        <f>IF(F20="",0,(F20-D20)*10)</f>
        <v>10.600000000000023</v>
      </c>
    </row>
    <row r="21" spans="1:8" outlineLevel="1" x14ac:dyDescent="0.35">
      <c r="A21" s="165" t="str">
        <f>IF(H2&gt;15,"entfällt","TBN")</f>
        <v>TBN</v>
      </c>
      <c r="B21" s="166"/>
      <c r="C21" s="77" t="s">
        <v>197</v>
      </c>
      <c r="D21" s="78">
        <f ca="1">IF(C21="","",VLOOKUP(C21,INDIRECT($C$57),2,0))</f>
        <v>10</v>
      </c>
      <c r="E21" s="78">
        <f ca="1">IF(C21="","",VLOOKUP(C21,INDIRECT($C$57),3,0))</f>
        <v>6</v>
      </c>
      <c r="F21" s="42">
        <v>2</v>
      </c>
      <c r="G21" s="71" t="str">
        <f>IF(H2&gt;16,"entfällt","Wert - Abzug")</f>
        <v>Wert - Abzug</v>
      </c>
      <c r="H21" s="66">
        <f ca="1">IF(A21="entfällt",0,IF(F21="",0,D21-F21))</f>
        <v>8</v>
      </c>
    </row>
    <row r="22" spans="1:8" outlineLevel="1" x14ac:dyDescent="0.35">
      <c r="A22" s="165" t="str">
        <f>IF(H2&gt;15,"entfällt","TBN")</f>
        <v>TBN</v>
      </c>
      <c r="B22" s="166"/>
      <c r="C22" s="77" t="s">
        <v>183</v>
      </c>
      <c r="D22" s="78">
        <f ca="1">IF(C22="","",VLOOKUP(C22,INDIRECT($C$57),2,0))</f>
        <v>11</v>
      </c>
      <c r="E22" s="78">
        <f ca="1">IF(C22="","",VLOOKUP(C22,INDIRECT($C$57),3,0))</f>
        <v>6</v>
      </c>
      <c r="F22" s="42">
        <v>0</v>
      </c>
      <c r="G22" s="71" t="str">
        <f>IF(H2&gt;16,"entfällt","Wert - Abzug")</f>
        <v>Wert - Abzug</v>
      </c>
      <c r="H22" s="66">
        <f t="shared" ref="H22:H28" ca="1" si="0">IF(A22="entfällt",0,IF(F22="",0,D22-F22))</f>
        <v>11</v>
      </c>
    </row>
    <row r="23" spans="1:8" outlineLevel="1" x14ac:dyDescent="0.35">
      <c r="A23" s="165" t="str">
        <f>IF(H2&gt;11,"entfällt","TBN")</f>
        <v>entfällt</v>
      </c>
      <c r="B23" s="166"/>
      <c r="C23" s="77"/>
      <c r="D23" s="78" t="str">
        <f ca="1">IF(C23="","",VLOOKUP(C23,INDIRECT($C$57),2,0))</f>
        <v/>
      </c>
      <c r="E23" s="78" t="str">
        <f ca="1">IF(C23="","",VLOOKUP(C23,INDIRECT($C$57),3,0))</f>
        <v/>
      </c>
      <c r="F23" s="42"/>
      <c r="G23" s="71" t="str">
        <f>IF(H2&gt;16,"entfällt","Wert - Abzug")</f>
        <v>Wert - Abzug</v>
      </c>
      <c r="H23" s="66">
        <f t="shared" si="0"/>
        <v>0</v>
      </c>
    </row>
    <row r="24" spans="1:8" outlineLevel="1" x14ac:dyDescent="0.35">
      <c r="A24" s="110" t="s">
        <v>147</v>
      </c>
      <c r="B24" s="111"/>
      <c r="C24" s="77" t="s">
        <v>185</v>
      </c>
      <c r="D24" s="78">
        <v>15</v>
      </c>
      <c r="E24" s="78">
        <v>6</v>
      </c>
      <c r="F24" s="42">
        <v>4</v>
      </c>
      <c r="G24" s="71" t="s">
        <v>146</v>
      </c>
      <c r="H24" s="66">
        <f t="shared" si="0"/>
        <v>11</v>
      </c>
    </row>
    <row r="25" spans="1:8" outlineLevel="1" x14ac:dyDescent="0.35">
      <c r="A25" s="110" t="s">
        <v>147</v>
      </c>
      <c r="B25" s="111"/>
      <c r="C25" s="77" t="s">
        <v>188</v>
      </c>
      <c r="D25" s="78">
        <v>13</v>
      </c>
      <c r="E25" s="78">
        <v>6</v>
      </c>
      <c r="F25" s="42">
        <v>2</v>
      </c>
      <c r="G25" s="71" t="s">
        <v>146</v>
      </c>
      <c r="H25" s="66">
        <f t="shared" si="0"/>
        <v>11</v>
      </c>
    </row>
    <row r="26" spans="1:8" outlineLevel="1" x14ac:dyDescent="0.35">
      <c r="A26" s="110" t="s">
        <v>147</v>
      </c>
      <c r="B26" s="111"/>
      <c r="C26" s="77" t="s">
        <v>189</v>
      </c>
      <c r="D26" s="78">
        <v>15</v>
      </c>
      <c r="E26" s="78">
        <v>6</v>
      </c>
      <c r="F26" s="42">
        <v>2</v>
      </c>
      <c r="G26" s="71" t="s">
        <v>146</v>
      </c>
      <c r="H26" s="66">
        <f t="shared" si="0"/>
        <v>13</v>
      </c>
    </row>
    <row r="27" spans="1:8" outlineLevel="1" x14ac:dyDescent="0.35">
      <c r="A27" s="110" t="str">
        <f>IF(H2&gt;11,"TN","entfällt")</f>
        <v>TN</v>
      </c>
      <c r="B27" s="111"/>
      <c r="C27" s="77" t="s">
        <v>186</v>
      </c>
      <c r="D27" s="78">
        <v>14</v>
      </c>
      <c r="E27" s="78">
        <v>6</v>
      </c>
      <c r="F27" s="42">
        <v>4</v>
      </c>
      <c r="G27" s="71" t="str">
        <f>IF(H2&gt;12,"Wert - Abzug","entfällt")</f>
        <v>Wert - Abzug</v>
      </c>
      <c r="H27" s="66">
        <f t="shared" si="0"/>
        <v>10</v>
      </c>
    </row>
    <row r="28" spans="1:8" outlineLevel="1" x14ac:dyDescent="0.35">
      <c r="A28" s="110" t="str">
        <f>IF(H2&gt;15,"TN","entfällt")</f>
        <v>entfällt</v>
      </c>
      <c r="B28" s="111"/>
      <c r="C28" s="77"/>
      <c r="D28" s="78"/>
      <c r="E28" s="78"/>
      <c r="F28" s="42"/>
      <c r="G28" s="71" t="str">
        <f>IF(H2&gt;16,"Wert - Abzug","entfällt")</f>
        <v>entfällt</v>
      </c>
      <c r="H28" s="66">
        <f t="shared" si="0"/>
        <v>0</v>
      </c>
    </row>
    <row r="29" spans="1:8" outlineLevel="1" x14ac:dyDescent="0.35">
      <c r="A29" s="110" t="str">
        <f>IF(H2&gt;15,"TN","entfällt")</f>
        <v>entfällt</v>
      </c>
      <c r="B29" s="111"/>
      <c r="C29" s="77"/>
      <c r="D29" s="78"/>
      <c r="E29" s="78"/>
      <c r="F29" s="42"/>
      <c r="G29" s="71" t="str">
        <f>IF(H2&gt;16,"Wert - Abzug","entfällt")</f>
        <v>entfällt</v>
      </c>
      <c r="H29" s="66">
        <f>IF(A29="entfällt",0,IF(F29="",0,D29-F29))</f>
        <v>0</v>
      </c>
    </row>
    <row r="30" spans="1:8" outlineLevel="1" x14ac:dyDescent="0.35">
      <c r="A30" s="165" t="str">
        <f>IF($H$2&gt;10,"Verbindung Sprung 1","entfällt")</f>
        <v>Verbindung Sprung 1</v>
      </c>
      <c r="B30" s="166"/>
      <c r="C30" s="40" t="str">
        <f ca="1">IF(A30&lt;&gt;"entfällt",VLOOKUP(1,INDIRECT($C$68),2,0),"")</f>
        <v>801&lt;</v>
      </c>
      <c r="D30" s="40">
        <f ca="1">IF(A30&lt;&gt;"entfällt",VLOOKUP(1,INDIRECT($C$68),3,0),"")</f>
        <v>13</v>
      </c>
      <c r="E30" s="40">
        <f ca="1">IF(A30&lt;&gt;"entfällt",VLOOKUP(1,INDIRECT($C$68),4,0),"")</f>
        <v>3</v>
      </c>
      <c r="F30" s="42">
        <v>1</v>
      </c>
      <c r="G30" s="71" t="str">
        <f>IF(H2&gt;12,"Wert - Abzug","entfällt")</f>
        <v>Wert - Abzug</v>
      </c>
      <c r="H30" s="66"/>
    </row>
    <row r="31" spans="1:8" outlineLevel="1" x14ac:dyDescent="0.35">
      <c r="A31" s="165" t="str">
        <f>IF($H$2&gt;10,"Verbindung Sprung 2","entfällt")</f>
        <v>Verbindung Sprung 2</v>
      </c>
      <c r="B31" s="166"/>
      <c r="C31" s="40" t="str">
        <f ca="1">IF(A31&lt;&gt;"entfällt",VLOOKUP(2,INDIRECT($C$68),2,0),"")</f>
        <v>40&lt;</v>
      </c>
      <c r="D31" s="40">
        <f ca="1">IF(A31&lt;&gt;"entfällt",VLOOKUP(2,INDIRECT($C$68),3,0),"")</f>
        <v>6</v>
      </c>
      <c r="E31" s="40">
        <f ca="1">IF(A31&lt;&gt;"entfällt",VLOOKUP(2,INDIRECT($C$68),4,0),"")</f>
        <v>3</v>
      </c>
      <c r="F31" s="42">
        <v>1</v>
      </c>
      <c r="G31" s="71" t="str">
        <f>IF(H2&gt;12,"Wert - Abzug","entfällt")</f>
        <v>Wert - Abzug</v>
      </c>
      <c r="H31" s="66"/>
    </row>
    <row r="32" spans="1:8" outlineLevel="1" x14ac:dyDescent="0.35">
      <c r="A32" s="165" t="str">
        <f>IF($H$2&gt;10,"Verbindung Sprung 3","entfällt")</f>
        <v>Verbindung Sprung 3</v>
      </c>
      <c r="B32" s="166"/>
      <c r="C32" s="40" t="str">
        <f ca="1">IF(A32&lt;&gt;"entfällt",VLOOKUP(3,INDIRECT($C$68),2,0),"")</f>
        <v>801°</v>
      </c>
      <c r="D32" s="40">
        <f ca="1">IF(A32&lt;&gt;"entfällt",VLOOKUP(3,INDIRECT($C$68),3,0),"")</f>
        <v>11</v>
      </c>
      <c r="E32" s="40">
        <f ca="1">IF(A32&lt;&gt;"entfällt",VLOOKUP(3,INDIRECT($C$68),4,0),"")</f>
        <v>3</v>
      </c>
      <c r="F32" s="42">
        <v>1</v>
      </c>
      <c r="G32" s="71" t="str">
        <f>IF(H2&gt;12,"Wert - Abzug","entfällt")</f>
        <v>Wert - Abzug</v>
      </c>
      <c r="H32" s="66"/>
    </row>
    <row r="33" spans="1:8" outlineLevel="1" x14ac:dyDescent="0.35">
      <c r="A33" s="165" t="str">
        <f>IF($H$2&gt;10,"Verbindung Sprung 4","entfällt")</f>
        <v>Verbindung Sprung 4</v>
      </c>
      <c r="B33" s="166"/>
      <c r="C33" s="40" t="str">
        <f ca="1">IF(A33&lt;&gt;"entfällt",VLOOKUP(4,INDIRECT($C$68),2,0),"")</f>
        <v>40/</v>
      </c>
      <c r="D33" s="40">
        <f ca="1">IF(A33&lt;&gt;"entfällt",VLOOKUP(4,INDIRECT($C$68),3,0),"")</f>
        <v>6</v>
      </c>
      <c r="E33" s="40">
        <f ca="1">IF(A33&lt;&gt;"entfällt",VLOOKUP(4,INDIRECT($C$68),4,0),"")</f>
        <v>3</v>
      </c>
      <c r="F33" s="42">
        <v>0</v>
      </c>
      <c r="G33" s="71" t="str">
        <f>IF(H2&gt;12,"Wert - Abzug","entfällt")</f>
        <v>Wert - Abzug</v>
      </c>
      <c r="H33" s="66"/>
    </row>
    <row r="34" spans="1:8" outlineLevel="1" x14ac:dyDescent="0.35">
      <c r="A34" s="165" t="str">
        <f>IF($H$2&gt;10,"Verbindung Sprung 5","entfällt")</f>
        <v>Verbindung Sprung 5</v>
      </c>
      <c r="B34" s="166"/>
      <c r="C34" s="40" t="str">
        <f ca="1">IF(A34&lt;&gt;"entfällt",VLOOKUP(5,INDIRECT($C$68),2,0),"")</f>
        <v>41/</v>
      </c>
      <c r="D34" s="40">
        <f ca="1">IF(A34&lt;&gt;"entfällt",VLOOKUP(5,INDIRECT($C$68),3,0),"")</f>
        <v>6</v>
      </c>
      <c r="E34" s="40">
        <f ca="1">IF(A34&lt;&gt;"entfällt",VLOOKUP(5,INDIRECT($C$68),4,0),"")</f>
        <v>3</v>
      </c>
      <c r="F34" s="42">
        <v>2</v>
      </c>
      <c r="G34" s="71" t="str">
        <f>IF(H2&gt;12,"Wert - Abzug","entfällt")</f>
        <v>Wert - Abzug</v>
      </c>
      <c r="H34" s="66"/>
    </row>
    <row r="35" spans="1:8" ht="15" outlineLevel="1" thickBot="1" x14ac:dyDescent="0.4">
      <c r="A35" s="171" t="str">
        <f>IF($H$2&gt;10,"Verbindung Sprung 6","entfällt")</f>
        <v>Verbindung Sprung 6</v>
      </c>
      <c r="B35" s="172"/>
      <c r="C35" s="68" t="str">
        <f ca="1">IF(A35&lt;&gt;"entfällt",VLOOKUP(6,INDIRECT($C$68),2,0),"")</f>
        <v>800°</v>
      </c>
      <c r="D35" s="68">
        <f ca="1">IF(A35&lt;&gt;"entfällt",VLOOKUP(6,INDIRECT($C$68),3,0),"")</f>
        <v>10</v>
      </c>
      <c r="E35" s="68">
        <f ca="1">IF(A35&lt;&gt;"entfällt",VLOOKUP(6,INDIRECT($C$68),4,0),"")</f>
        <v>3</v>
      </c>
      <c r="F35" s="69">
        <v>2</v>
      </c>
      <c r="G35" s="72" t="str">
        <f>IF(H2&gt;12,"Wert - Abzug","entfällt")</f>
        <v>Wert - Abzug</v>
      </c>
      <c r="H35" s="70">
        <f>30-F30-F31-F32-F33-F34-F35</f>
        <v>23</v>
      </c>
    </row>
    <row r="36" spans="1:8" ht="15" thickBot="1" x14ac:dyDescent="0.4">
      <c r="A36" s="173" t="s">
        <v>41</v>
      </c>
      <c r="B36" s="174"/>
      <c r="C36" s="174"/>
      <c r="D36" s="174"/>
      <c r="E36" s="174"/>
      <c r="F36" s="174"/>
      <c r="G36" s="175"/>
      <c r="H36" s="89">
        <f ca="1">SUM(H20:H35)</f>
        <v>97.600000000000023</v>
      </c>
    </row>
    <row r="37" spans="1:8" ht="15" outlineLevel="1" thickBot="1" x14ac:dyDescent="0.4">
      <c r="A37" s="181" t="s">
        <v>99</v>
      </c>
      <c r="B37" s="182"/>
      <c r="C37" s="182"/>
      <c r="D37" s="183"/>
      <c r="E37" s="85" t="s">
        <v>27</v>
      </c>
      <c r="F37" s="85" t="s">
        <v>237</v>
      </c>
      <c r="G37" s="86" t="s">
        <v>28</v>
      </c>
      <c r="H37" s="49" t="s">
        <v>234</v>
      </c>
    </row>
    <row r="38" spans="1:8" outlineLevel="1" x14ac:dyDescent="0.35">
      <c r="A38" s="179" t="str">
        <f ca="1">VLOOKUP(1,INDIRECT($C$65),2,0)</f>
        <v>Flugrolle mit Überstrecken mit Anlauf</v>
      </c>
      <c r="B38" s="180"/>
      <c r="C38" s="180"/>
      <c r="D38" s="180"/>
      <c r="E38" s="92">
        <f ca="1">VLOOKUP(1,INDIRECT($C$65),3,0)</f>
        <v>3</v>
      </c>
      <c r="F38" s="79">
        <v>0</v>
      </c>
      <c r="G38" s="80" t="s">
        <v>146</v>
      </c>
      <c r="H38" s="84">
        <f ca="1">IF(E38=" ","",IF(F38="",0,E38-F38))</f>
        <v>3</v>
      </c>
    </row>
    <row r="39" spans="1:8" outlineLevel="1" x14ac:dyDescent="0.35">
      <c r="A39" s="163" t="str">
        <f ca="1">VLOOKUP(2,INDIRECT($C$65),2,0)</f>
        <v>--&gt; Strecksprung, Salto vorwärts gehockt</v>
      </c>
      <c r="B39" s="164"/>
      <c r="C39" s="164"/>
      <c r="D39" s="164"/>
      <c r="E39" s="87">
        <f ca="1">VLOOKUP(2,INDIRECT($C$65),3,0)</f>
        <v>4.5</v>
      </c>
      <c r="F39" s="43">
        <v>0</v>
      </c>
      <c r="G39" s="81" t="s">
        <v>146</v>
      </c>
      <c r="H39" s="84">
        <f t="shared" ref="H39:H49" ca="1" si="1">IF(E39=" ","",IF(F39="",0,E39-F39))</f>
        <v>4.5</v>
      </c>
    </row>
    <row r="40" spans="1:8" outlineLevel="1" x14ac:dyDescent="0.35">
      <c r="A40" s="163" t="str">
        <f ca="1">VLOOKUP(3,INDIRECT($C$65),2,0)</f>
        <v>Vorspreizen, Handstand mit 1/1 Drehung, abrollen</v>
      </c>
      <c r="B40" s="164"/>
      <c r="C40" s="164"/>
      <c r="D40" s="164"/>
      <c r="E40" s="87">
        <f ca="1">VLOOKUP(3,INDIRECT($C$65),3,0)</f>
        <v>3</v>
      </c>
      <c r="F40" s="43">
        <v>0.5</v>
      </c>
      <c r="G40" s="81" t="s">
        <v>146</v>
      </c>
      <c r="H40" s="84">
        <f t="shared" ca="1" si="1"/>
        <v>2.5</v>
      </c>
    </row>
    <row r="41" spans="1:8" outlineLevel="1" x14ac:dyDescent="0.35">
      <c r="A41" s="163" t="str">
        <f ca="1">VLOOKUP(4,INDIRECT($C$65),2,0)</f>
        <v>--&gt; Aufstehen mit gestreckten Beinen</v>
      </c>
      <c r="B41" s="164"/>
      <c r="C41" s="164"/>
      <c r="D41" s="164"/>
      <c r="E41" s="87">
        <f ca="1">VLOOKUP(4,INDIRECT($C$65),3,0)</f>
        <v>3</v>
      </c>
      <c r="F41" s="43">
        <v>0</v>
      </c>
      <c r="G41" s="81" t="s">
        <v>146</v>
      </c>
      <c r="H41" s="84">
        <f t="shared" ca="1" si="1"/>
        <v>3</v>
      </c>
    </row>
    <row r="42" spans="1:8" outlineLevel="1" x14ac:dyDescent="0.35">
      <c r="A42" s="163" t="str">
        <f ca="1">VLOOKUP(5,INDIRECT($C$65),2,0)</f>
        <v>Vorspreizen, Bestellschritt, Strecksprung 3/2 Drehung</v>
      </c>
      <c r="B42" s="164"/>
      <c r="C42" s="164"/>
      <c r="D42" s="164"/>
      <c r="E42" s="87">
        <f ca="1">VLOOKUP(5,INDIRECT($C$65),3,0)</f>
        <v>3</v>
      </c>
      <c r="F42" s="43">
        <v>1</v>
      </c>
      <c r="G42" s="81" t="s">
        <v>146</v>
      </c>
      <c r="H42" s="84">
        <f t="shared" ca="1" si="1"/>
        <v>2</v>
      </c>
    </row>
    <row r="43" spans="1:8" outlineLevel="1" x14ac:dyDescent="0.35">
      <c r="A43" s="163" t="str">
        <f ca="1">VLOOKUP(6,INDIRECT($C$65),2,0)</f>
        <v>Salto rückwärts gehockt</v>
      </c>
      <c r="B43" s="164"/>
      <c r="C43" s="164"/>
      <c r="D43" s="164"/>
      <c r="E43" s="87">
        <f ca="1">VLOOKUP(6,INDIRECT($C$65),3,0)</f>
        <v>3</v>
      </c>
      <c r="F43" s="43">
        <v>0</v>
      </c>
      <c r="G43" s="81" t="s">
        <v>146</v>
      </c>
      <c r="H43" s="84">
        <f t="shared" ca="1" si="1"/>
        <v>3</v>
      </c>
    </row>
    <row r="44" spans="1:8" outlineLevel="1" x14ac:dyDescent="0.35">
      <c r="A44" s="163" t="str">
        <f ca="1">VLOOKUP(7,INDIRECT($C$65),2,0)</f>
        <v>Handstützüberschlag</v>
      </c>
      <c r="B44" s="164"/>
      <c r="C44" s="164"/>
      <c r="D44" s="164"/>
      <c r="E44" s="87">
        <f ca="1">VLOOKUP(7,INDIRECT($C$65),3,0)</f>
        <v>3</v>
      </c>
      <c r="F44" s="43">
        <v>0</v>
      </c>
      <c r="G44" s="81" t="s">
        <v>146</v>
      </c>
      <c r="H44" s="84">
        <f t="shared" ca="1" si="1"/>
        <v>3</v>
      </c>
    </row>
    <row r="45" spans="1:8" outlineLevel="1" x14ac:dyDescent="0.35">
      <c r="A45" s="163" t="str">
        <f ca="1">VLOOKUP(8,INDIRECT($C$65),2,0)</f>
        <v>--&gt; Ansprung Schrittstellung, Handstand mit zwei Hüpfern</v>
      </c>
      <c r="B45" s="164"/>
      <c r="C45" s="164"/>
      <c r="D45" s="164"/>
      <c r="E45" s="87">
        <f ca="1">VLOOKUP(8,INDIRECT($C$65),3,0)</f>
        <v>3</v>
      </c>
      <c r="F45" s="43">
        <v>0</v>
      </c>
      <c r="G45" s="81" t="s">
        <v>146</v>
      </c>
      <c r="H45" s="84">
        <f t="shared" ca="1" si="1"/>
        <v>3</v>
      </c>
    </row>
    <row r="46" spans="1:8" outlineLevel="1" x14ac:dyDescent="0.35">
      <c r="A46" s="163" t="str">
        <f ca="1">VLOOKUP(9,INDIRECT($C$65),2,0)</f>
        <v>Abrollen --&gt; Strecksprung 1/2 Drehung</v>
      </c>
      <c r="B46" s="164"/>
      <c r="C46" s="164"/>
      <c r="D46" s="164"/>
      <c r="E46" s="87">
        <f ca="1">VLOOKUP(9,INDIRECT($C$65),3,0)</f>
        <v>1.5</v>
      </c>
      <c r="F46" s="43">
        <v>0.5</v>
      </c>
      <c r="G46" s="81" t="str">
        <f>IF(H2&gt;16,"","Wert - Abzug")</f>
        <v>Wert - Abzug</v>
      </c>
      <c r="H46" s="84">
        <f t="shared" ca="1" si="1"/>
        <v>1</v>
      </c>
    </row>
    <row r="47" spans="1:8" outlineLevel="1" x14ac:dyDescent="0.35">
      <c r="A47" s="163" t="str">
        <f ca="1">VLOOKUP(10,INDIRECT($C$65),2,0)</f>
        <v>Salto vorwärts gebückt mit Anlauf</v>
      </c>
      <c r="B47" s="164"/>
      <c r="C47" s="164"/>
      <c r="D47" s="164"/>
      <c r="E47" s="87">
        <f ca="1">VLOOKUP(10,INDIRECT($C$65),3,0)</f>
        <v>3</v>
      </c>
      <c r="F47" s="43">
        <v>0.5</v>
      </c>
      <c r="G47" s="81" t="str">
        <f>IF(H2&gt;16,"","Wert - Abzug")</f>
        <v>Wert - Abzug</v>
      </c>
      <c r="H47" s="84">
        <f t="shared" ca="1" si="1"/>
        <v>2.5</v>
      </c>
    </row>
    <row r="48" spans="1:8" outlineLevel="1" x14ac:dyDescent="0.35">
      <c r="A48" s="163" t="str">
        <f ca="1">VLOOKUP(11,INDIRECT($C$65),2,0)</f>
        <v xml:space="preserve"> </v>
      </c>
      <c r="B48" s="164"/>
      <c r="C48" s="164"/>
      <c r="D48" s="164"/>
      <c r="E48" s="87" t="str">
        <f ca="1">VLOOKUP(11,INDIRECT($C$65),3,0)</f>
        <v xml:space="preserve"> </v>
      </c>
      <c r="F48" s="43"/>
      <c r="G48" s="81" t="str">
        <f>IF(H2&gt;13,"","Wert - Abzug")</f>
        <v/>
      </c>
      <c r="H48" s="84" t="str">
        <f t="shared" ca="1" si="1"/>
        <v/>
      </c>
    </row>
    <row r="49" spans="1:8" ht="15" outlineLevel="1" thickBot="1" x14ac:dyDescent="0.4">
      <c r="A49" s="184" t="str">
        <f ca="1">VLOOKUP(12,INDIRECT($C$65),2,0)</f>
        <v xml:space="preserve"> </v>
      </c>
      <c r="B49" s="185"/>
      <c r="C49" s="185"/>
      <c r="D49" s="185"/>
      <c r="E49" s="93" t="str">
        <f ca="1">VLOOKUP(12,INDIRECT($C$65),3,0)</f>
        <v xml:space="preserve"> </v>
      </c>
      <c r="F49" s="82"/>
      <c r="G49" s="83" t="str">
        <f>IF(OR(H2=9,H2=12,H2=13),"Wert - Abzug","")</f>
        <v/>
      </c>
      <c r="H49" s="84" t="str">
        <f t="shared" ca="1" si="1"/>
        <v/>
      </c>
    </row>
    <row r="50" spans="1:8" ht="15" thickBot="1" x14ac:dyDescent="0.4">
      <c r="A50" s="176" t="s">
        <v>98</v>
      </c>
      <c r="B50" s="177"/>
      <c r="C50" s="177"/>
      <c r="D50" s="177"/>
      <c r="E50" s="177"/>
      <c r="F50" s="177"/>
      <c r="G50" s="178"/>
      <c r="H50" s="44">
        <f ca="1">SUM(H38:H49)</f>
        <v>27.5</v>
      </c>
    </row>
    <row r="51" spans="1:8" ht="16" thickBot="1" x14ac:dyDescent="0.4">
      <c r="A51" s="169" t="s">
        <v>42</v>
      </c>
      <c r="B51" s="170"/>
      <c r="C51" s="170"/>
      <c r="D51" s="170"/>
      <c r="E51" s="170"/>
      <c r="F51" s="170"/>
      <c r="G51" s="170"/>
      <c r="H51" s="94">
        <f ca="1">SUM(H9,H18,H36,H50)</f>
        <v>209.10000000000002</v>
      </c>
    </row>
    <row r="52" spans="1:8" s="23" customFormat="1" x14ac:dyDescent="0.35">
      <c r="D52" s="50"/>
      <c r="E52" s="50"/>
      <c r="F52" s="50"/>
      <c r="G52" s="50"/>
    </row>
    <row r="53" spans="1:8" s="23" customFormat="1" hidden="1" x14ac:dyDescent="0.35">
      <c r="C53" s="24"/>
      <c r="D53" s="50"/>
      <c r="E53" s="50"/>
      <c r="F53" s="50"/>
      <c r="G53" s="50"/>
    </row>
    <row r="54" spans="1:8" s="23" customFormat="1" hidden="1" x14ac:dyDescent="0.35">
      <c r="B54" s="23" t="s">
        <v>249</v>
      </c>
      <c r="C54" s="23" t="str">
        <f>IF(H2&lt;13,"beide",F1)</f>
        <v>männlich</v>
      </c>
      <c r="D54" s="50"/>
      <c r="E54" s="50"/>
      <c r="F54" s="50"/>
      <c r="G54" s="50"/>
    </row>
    <row r="55" spans="1:8" s="23" customFormat="1" hidden="1" x14ac:dyDescent="0.35">
      <c r="B55" s="23" t="s">
        <v>3</v>
      </c>
      <c r="C55" s="23" t="str">
        <f>IF(OR(H2=8,H2=11),H2,IF(H2&lt;11,"9_10",IF(H2&lt;14,"12_13",IF(H2&lt;16,"14_15",IF(H2&lt;18,"16_17",18)))))</f>
        <v>14_15</v>
      </c>
      <c r="D55" s="50"/>
      <c r="E55" s="50"/>
      <c r="F55" s="50"/>
      <c r="G55" s="50"/>
    </row>
    <row r="56" spans="1:8" s="23" customFormat="1" hidden="1" x14ac:dyDescent="0.35">
      <c r="D56" s="50"/>
      <c r="E56" s="50"/>
      <c r="F56" s="50"/>
      <c r="G56" s="50"/>
    </row>
    <row r="57" spans="1:8" s="23" customFormat="1" hidden="1" x14ac:dyDescent="0.35">
      <c r="B57" s="23" t="s">
        <v>251</v>
      </c>
      <c r="C57" s="23" t="str">
        <f>"TBN_"&amp;C54&amp;"_"&amp;C55</f>
        <v>TBN_männlich_14_15</v>
      </c>
      <c r="D57" s="50"/>
      <c r="E57" s="50"/>
      <c r="F57" s="50"/>
      <c r="G57" s="50"/>
    </row>
    <row r="58" spans="1:8" s="23" customFormat="1" hidden="1" x14ac:dyDescent="0.35">
      <c r="C58" s="23" t="str">
        <f>C57&amp;"[Beschreibung]"</f>
        <v>TBN_männlich_14_15[Beschreibung]</v>
      </c>
      <c r="D58" s="50"/>
      <c r="E58" s="50"/>
      <c r="F58" s="50"/>
      <c r="G58" s="50"/>
    </row>
    <row r="59" spans="1:8" s="23" customFormat="1" hidden="1" x14ac:dyDescent="0.35">
      <c r="D59" s="50"/>
      <c r="E59" s="50"/>
      <c r="F59" s="50"/>
      <c r="G59" s="50"/>
    </row>
    <row r="60" spans="1:8" s="23" customFormat="1" hidden="1" x14ac:dyDescent="0.35">
      <c r="B60" s="23" t="s">
        <v>147</v>
      </c>
      <c r="C60" s="23" t="str">
        <f>"TN_"&amp;C54&amp;"_"&amp;C55</f>
        <v>TN_männlich_14_15</v>
      </c>
      <c r="D60" s="50"/>
      <c r="E60" s="50"/>
      <c r="F60" s="50"/>
      <c r="G60" s="50"/>
    </row>
    <row r="61" spans="1:8" s="23" customFormat="1" hidden="1" x14ac:dyDescent="0.35">
      <c r="C61" s="23" t="str">
        <f>C60&amp;"[Beschreibung]"</f>
        <v>TN_männlich_14_15[Beschreibung]</v>
      </c>
      <c r="D61" s="50"/>
      <c r="E61" s="50"/>
      <c r="F61" s="50"/>
      <c r="G61" s="50"/>
    </row>
    <row r="62" spans="1:8" s="23" customFormat="1" hidden="1" x14ac:dyDescent="0.35">
      <c r="D62" s="50"/>
      <c r="E62" s="50"/>
      <c r="F62" s="50"/>
      <c r="G62" s="50"/>
    </row>
    <row r="63" spans="1:8" s="23" customFormat="1" hidden="1" x14ac:dyDescent="0.35">
      <c r="B63" s="23" t="s">
        <v>17</v>
      </c>
      <c r="C63" s="23" t="str">
        <f>"TV_"&amp;F1&amp;"_"&amp;C55</f>
        <v>TV_männlich_14_15</v>
      </c>
      <c r="D63" s="50"/>
      <c r="E63" s="50"/>
      <c r="F63" s="50"/>
      <c r="G63" s="50"/>
    </row>
    <row r="64" spans="1:8" s="23" customFormat="1" hidden="1" x14ac:dyDescent="0.35">
      <c r="D64" s="50"/>
      <c r="E64" s="50"/>
      <c r="F64" s="50"/>
      <c r="G64" s="50"/>
    </row>
    <row r="65" spans="2:7" s="23" customFormat="1" hidden="1" x14ac:dyDescent="0.35">
      <c r="B65" s="23" t="s">
        <v>252</v>
      </c>
      <c r="C65" s="23" t="str">
        <f>"BKÜ"&amp;IF(H2=9,"_9",IF(H2&lt;12,"_10_11",IF(H2&lt;14,"_12_13",IF(H2&lt;17,"_14_16","_17"))))</f>
        <v>BKÜ_14_16</v>
      </c>
      <c r="D65" s="50"/>
      <c r="E65" s="50"/>
      <c r="F65" s="50"/>
      <c r="G65" s="50"/>
    </row>
    <row r="66" spans="2:7" s="23" customFormat="1" hidden="1" x14ac:dyDescent="0.35">
      <c r="D66" s="50"/>
      <c r="E66" s="50"/>
      <c r="F66" s="50"/>
      <c r="G66" s="50"/>
    </row>
    <row r="67" spans="2:7" s="23" customFormat="1" hidden="1" x14ac:dyDescent="0.35">
      <c r="B67" s="23" t="s">
        <v>250</v>
      </c>
      <c r="C67" s="23" t="str">
        <f>IF(H2&lt;17,"beide",F1)</f>
        <v>beide</v>
      </c>
      <c r="D67" s="50"/>
      <c r="E67" s="50"/>
      <c r="F67" s="50"/>
      <c r="G67" s="50"/>
    </row>
    <row r="68" spans="2:7" s="23" customFormat="1" hidden="1" x14ac:dyDescent="0.35">
      <c r="B68" s="23" t="s">
        <v>17</v>
      </c>
      <c r="C68" s="23" t="str">
        <f>"TV_"&amp;C67&amp;"_"&amp;C55</f>
        <v>TV_beide_14_15</v>
      </c>
      <c r="D68" s="50"/>
      <c r="E68" s="50"/>
      <c r="F68" s="50"/>
      <c r="G68" s="50"/>
    </row>
    <row r="69" spans="2:7" x14ac:dyDescent="0.35"/>
    <row r="70" spans="2:7" x14ac:dyDescent="0.35"/>
  </sheetData>
  <sheetProtection algorithmName="SHA-512" hashValue="RnNa5pxazRXaanbgUnSg1ft/2ppANhVdnPEKOwI0qqPZc6IB94TFQ6KRhKgo4VZgq3fA1bQxgHf6EMKAFE0QCQ==" saltValue="PtRffzdbJzLQwKONOvYWGQ==" spinCount="100000" sheet="1" objects="1" scenarios="1" selectLockedCells="1"/>
  <protectedRanges>
    <protectedRange sqref="H1:H2 F1:F2 B1:B2" name="Athletendaten"/>
    <protectedRange sqref="F38:F49 C20:F35 D69:E440 C69:C441 F4:F8 C38:E68 C11:E16 F11:F17" name="Werte und Varianten"/>
    <protectedRange algorithmName="SHA-512" hashValue="EtPG7jm6pk6JVG08ToKZL4Sto4PS6TOUsygvFmj6DTfcGnX6DwKdfjTEg/2X1Hwnu/CwfNhBUSnXKs/oLqcupQ==" saltValue="sPse4fdTsI5OFESYvRIl8Q==" spinCount="100000" sqref="H4:H8 H38:H49 H20:H35 H11:H17" name="Punktzahlen"/>
  </protectedRanges>
  <mergeCells count="44">
    <mergeCell ref="A12:E12"/>
    <mergeCell ref="B1:E1"/>
    <mergeCell ref="B2:F2"/>
    <mergeCell ref="A3:E3"/>
    <mergeCell ref="A4:E4"/>
    <mergeCell ref="A5:E5"/>
    <mergeCell ref="A6:E6"/>
    <mergeCell ref="A7:E7"/>
    <mergeCell ref="A8:E8"/>
    <mergeCell ref="A9:G9"/>
    <mergeCell ref="A10:E10"/>
    <mergeCell ref="A11:E11"/>
    <mergeCell ref="A31:B31"/>
    <mergeCell ref="A13:E13"/>
    <mergeCell ref="A14:E14"/>
    <mergeCell ref="A15:E15"/>
    <mergeCell ref="A16:E16"/>
    <mergeCell ref="A18:G18"/>
    <mergeCell ref="A19:C19"/>
    <mergeCell ref="A20:B20"/>
    <mergeCell ref="A21:B21"/>
    <mergeCell ref="A22:B22"/>
    <mergeCell ref="A23:B23"/>
    <mergeCell ref="A30:B30"/>
    <mergeCell ref="A43:D43"/>
    <mergeCell ref="A32:B32"/>
    <mergeCell ref="A33:B33"/>
    <mergeCell ref="A34:B34"/>
    <mergeCell ref="A35:B35"/>
    <mergeCell ref="A36:G36"/>
    <mergeCell ref="A37:D37"/>
    <mergeCell ref="A38:D38"/>
    <mergeCell ref="A39:D39"/>
    <mergeCell ref="A40:D40"/>
    <mergeCell ref="A41:D41"/>
    <mergeCell ref="A42:D42"/>
    <mergeCell ref="A50:G50"/>
    <mergeCell ref="A51:G51"/>
    <mergeCell ref="A44:D44"/>
    <mergeCell ref="A45:D45"/>
    <mergeCell ref="A46:D46"/>
    <mergeCell ref="A47:D47"/>
    <mergeCell ref="A48:D48"/>
    <mergeCell ref="A49:D49"/>
  </mergeCells>
  <conditionalFormatting sqref="F46:F49">
    <cfRule type="expression" dxfId="288" priority="3">
      <formula>$A46=" "</formula>
    </cfRule>
  </conditionalFormatting>
  <conditionalFormatting sqref="B24:B29 C21:E29">
    <cfRule type="expression" dxfId="287" priority="2">
      <formula>$A21="entfällt"</formula>
    </cfRule>
    <cfRule type="expression" dxfId="286" priority="4">
      <formula>$H$2&gt;14</formula>
    </cfRule>
  </conditionalFormatting>
  <conditionalFormatting sqref="B24:B29">
    <cfRule type="expression" dxfId="285" priority="1">
      <formula>AND($A24="TN",$C24&lt;&gt;"")</formula>
    </cfRule>
  </conditionalFormatting>
  <dataValidations count="19">
    <dataValidation type="decimal" errorStyle="warning" allowBlank="1" showInputMessage="1" showErrorMessage="1" error="Eingegebener Abzug überschreitet maximal zulässigen Abzug, Wert bitte überprüfen!" sqref="F21:F35" xr:uid="{C46C7B03-6C94-4CA2-B6B5-1066112661D9}">
      <formula1>0</formula1>
      <formula2>$E21</formula2>
    </dataValidation>
    <dataValidation type="list" allowBlank="1" showInputMessage="1" showErrorMessage="1" sqref="C20" xr:uid="{DF13EBD8-E157-420A-8C53-F38BC008619B}">
      <formula1>"Lichtschranke,Druckmessplatte"</formula1>
    </dataValidation>
    <dataValidation type="whole" allowBlank="1" showInputMessage="1" showErrorMessage="1" errorTitle="Falsche Eingabe" error="Bitte Wert prüfen" sqref="D17" xr:uid="{9BC2C037-23A5-441F-A0D1-8D2D06781D41}">
      <formula1>1</formula1>
      <formula2>13</formula2>
    </dataValidation>
    <dataValidation type="list" allowBlank="1" showInputMessage="1" sqref="C24:C29" xr:uid="{E3342D55-48CF-4A66-BBD1-127B4E41EE2F}">
      <formula1>INDIRECT($C$61)</formula1>
    </dataValidation>
    <dataValidation type="list" allowBlank="1" showInputMessage="1" sqref="C21:C23" xr:uid="{6885C3CB-97AB-43C3-9869-6706F8507C27}">
      <formula1>INDIRECT($C$58)</formula1>
    </dataValidation>
    <dataValidation allowBlank="1" showInputMessage="1" showErrorMessage="1" prompt="Anzahl der Wiederholungen" sqref="F11" xr:uid="{E1515A35-9DA1-47A0-A053-CC561651CBAE}"/>
    <dataValidation type="whole" allowBlank="1" showInputMessage="1" showErrorMessage="1" prompt="Abstand von der Oberkante des Turnhockers zur schlechtesten Fingerspitze in cm" sqref="F6" xr:uid="{7137CD83-CB62-42CD-AC87-EE580A41E6C4}">
      <formula1>-50</formula1>
      <formula2>50</formula2>
    </dataValidation>
    <dataValidation type="list" allowBlank="1" showInputMessage="1" showErrorMessage="1" prompt="Punktzahl nach Vergleich mit Bild" sqref="F5" xr:uid="{E4DB8CBD-1C9A-484C-BA45-587839DC21D7}">
      <formula1>"0,2,6,10"</formula1>
    </dataValidation>
    <dataValidation type="whole" allowBlank="1" showErrorMessage="1" errorTitle="Falsche Eingabe" error="Bitte Wert prüfen" prompt="Höchste erreichte Stufe" sqref="F17" xr:uid="{57ED7D19-7E64-4EB9-9BB1-B2D3863E0725}">
      <formula1>1</formula1>
      <formula2>11</formula2>
    </dataValidation>
    <dataValidation allowBlank="1" sqref="D20:E20" xr:uid="{83AB5F9E-E46C-467D-B6D4-DA82EE7973EF}"/>
    <dataValidation type="decimal" errorStyle="warning" allowBlank="1" showInputMessage="1" showErrorMessage="1" error="Abzug höher als Wert des Elements, bitte überprüfen!" prompt="Abzug" sqref="F38:F49" xr:uid="{02B2AC67-B2BD-42E5-9BC9-A87F3726DBA1}">
      <formula1>0</formula1>
      <formula2>$E38</formula2>
    </dataValidation>
    <dataValidation type="whole" allowBlank="1" showInputMessage="1" showErrorMessage="1" prompt="AKs 9 - 13: Übersprungene Kästchen_x000a__x000a_AKs 14 - 21: Anzahl Saltos" sqref="F15" xr:uid="{EAAE3C31-ACEF-451E-B681-08FA15E8E1CF}">
      <formula1>0</formula1>
      <formula2>50</formula2>
    </dataValidation>
    <dataValidation type="list" allowBlank="1" showInputMessage="1" showErrorMessage="1" sqref="F1" xr:uid="{72F8687F-030C-4483-932B-41FB95DB0AC1}">
      <formula1>"männlich,weiblich"</formula1>
    </dataValidation>
    <dataValidation type="whole" allowBlank="1" showInputMessage="1" showErrorMessage="1" sqref="H4:H8" xr:uid="{4EB2C0D4-D54A-4500-BD04-5FF85041B3AA}">
      <formula1>0</formula1>
      <formula2>10</formula2>
    </dataValidation>
    <dataValidation type="whole" allowBlank="1" showInputMessage="1" showErrorMessage="1" prompt="Haltezeit in Sekunden" sqref="F13" xr:uid="{3BF661F1-4633-40C1-BC72-E5D58ED318B8}">
      <formula1>0</formula1>
      <formula2>200</formula2>
    </dataValidation>
    <dataValidation type="whole" allowBlank="1" showInputMessage="1" showErrorMessage="1" prompt="Haltezeit in Sekunden" sqref="F16" xr:uid="{3B8662A5-0FE2-4A13-87B8-184F3A7A7D07}">
      <formula1>0</formula1>
      <formula2>100</formula2>
    </dataValidation>
    <dataValidation type="whole" allowBlank="1" showInputMessage="1" showErrorMessage="1" prompt="Anzahl der Wiederholungen" sqref="F14 F12" xr:uid="{828E17A8-E76D-4593-862A-54B00C0D2775}">
      <formula1>0</formula1>
      <formula2>50</formula2>
    </dataValidation>
    <dataValidation type="list" operator="equal" allowBlank="1" showInputMessage="1" showErrorMessage="1" prompt="Punktzahl nach Vergleich mit Bild" sqref="F4" xr:uid="{020CE5C6-F058-4D88-BA0B-B3FA4C5BCDA7}">
      <formula1>"0,2,6,10"</formula1>
    </dataValidation>
    <dataValidation type="decimal" errorStyle="warning" showDropDown="1" showErrorMessage="1" error="Wert unrealistisch hoch, bitte Eingabe überprüfen" promptTitle="Vorsicht" sqref="F20" xr:uid="{CBA2EB32-4B30-4C56-93FF-33DE25B5BAAD}">
      <formula1>0</formula1>
      <formula2>30</formula2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Bitte Werte aus Dropdown auswählen" prompt="Abstand vom Boden laut Schablone" xr:uid="{51508C73-9D81-462D-953E-48E21BFE8AEE}">
          <x14:formula1>
            <xm:f>Punktetabellen!$A$3:$A$6</xm:f>
          </x14:formula1>
          <xm:sqref>F7:F8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28</vt:i4>
      </vt:variant>
    </vt:vector>
  </HeadingPairs>
  <TitlesOfParts>
    <vt:vector size="63" baseType="lpstr">
      <vt:lpstr>Infos</vt:lpstr>
      <vt:lpstr>Versionsinfo</vt:lpstr>
      <vt:lpstr>Auswertung_W</vt:lpstr>
      <vt:lpstr>Vorlage</vt:lpstr>
      <vt:lpstr>Listen</vt:lpstr>
      <vt:lpstr>Auswertung_M</vt:lpstr>
      <vt:lpstr>FeyhMiguel</vt:lpstr>
      <vt:lpstr>RöslerManuel</vt:lpstr>
      <vt:lpstr>BraunJanis</vt:lpstr>
      <vt:lpstr>GarmannLars</vt:lpstr>
      <vt:lpstr>LeitnerMichael</vt:lpstr>
      <vt:lpstr>LeitnerTobias</vt:lpstr>
      <vt:lpstr>StrieseHendrik</vt:lpstr>
      <vt:lpstr>BauerPhilipp</vt:lpstr>
      <vt:lpstr>Ronsiek-Niederbröcker, Hannah</vt:lpstr>
      <vt:lpstr>RamacheMarrit</vt:lpstr>
      <vt:lpstr>TotzkeViona</vt:lpstr>
      <vt:lpstr>FreyLuka</vt:lpstr>
      <vt:lpstr>SchuldtChristine</vt:lpstr>
      <vt:lpstr>MöllerMaya</vt:lpstr>
      <vt:lpstr>RadfelderHenningMirja</vt:lpstr>
      <vt:lpstr>StöhrGabriela</vt:lpstr>
      <vt:lpstr>BraafLuisa</vt:lpstr>
      <vt:lpstr>LangnerSabrina</vt:lpstr>
      <vt:lpstr>SchneiderFiona</vt:lpstr>
      <vt:lpstr>EislöffelAurelia</vt:lpstr>
      <vt:lpstr>HirschLiska</vt:lpstr>
      <vt:lpstr>HeringPauline</vt:lpstr>
      <vt:lpstr>VolskaNikola</vt:lpstr>
      <vt:lpstr>MelnichukAlexandra</vt:lpstr>
      <vt:lpstr>XingHohmannThea</vt:lpstr>
      <vt:lpstr>SteinbrennerGreta</vt:lpstr>
      <vt:lpstr>BachmannRieke</vt:lpstr>
      <vt:lpstr>Punktetabellen</vt:lpstr>
      <vt:lpstr>Standsprünge</vt:lpstr>
      <vt:lpstr>BachmannRieke!Druckbereich</vt:lpstr>
      <vt:lpstr>BauerPhilipp!Druckbereich</vt:lpstr>
      <vt:lpstr>BraafLuisa!Druckbereich</vt:lpstr>
      <vt:lpstr>BraunJanis!Druckbereich</vt:lpstr>
      <vt:lpstr>EislöffelAurelia!Druckbereich</vt:lpstr>
      <vt:lpstr>FeyhMiguel!Druckbereich</vt:lpstr>
      <vt:lpstr>FreyLuka!Druckbereich</vt:lpstr>
      <vt:lpstr>GarmannLars!Druckbereich</vt:lpstr>
      <vt:lpstr>HeringPauline!Druckbereich</vt:lpstr>
      <vt:lpstr>HirschLiska!Druckbereich</vt:lpstr>
      <vt:lpstr>LangnerSabrina!Druckbereich</vt:lpstr>
      <vt:lpstr>LeitnerMichael!Druckbereich</vt:lpstr>
      <vt:lpstr>LeitnerTobias!Druckbereich</vt:lpstr>
      <vt:lpstr>MelnichukAlexandra!Druckbereich</vt:lpstr>
      <vt:lpstr>MöllerMaya!Druckbereich</vt:lpstr>
      <vt:lpstr>RadfelderHenningMirja!Druckbereich</vt:lpstr>
      <vt:lpstr>RamacheMarrit!Druckbereich</vt:lpstr>
      <vt:lpstr>'Ronsiek-Niederbröcker, Hannah'!Druckbereich</vt:lpstr>
      <vt:lpstr>RöslerManuel!Druckbereich</vt:lpstr>
      <vt:lpstr>SchneiderFiona!Druckbereich</vt:lpstr>
      <vt:lpstr>SchuldtChristine!Druckbereich</vt:lpstr>
      <vt:lpstr>SteinbrennerGreta!Druckbereich</vt:lpstr>
      <vt:lpstr>StöhrGabriela!Druckbereich</vt:lpstr>
      <vt:lpstr>StrieseHendrik!Druckbereich</vt:lpstr>
      <vt:lpstr>TotzkeViona!Druckbereich</vt:lpstr>
      <vt:lpstr>VolskaNikola!Druckbereich</vt:lpstr>
      <vt:lpstr>Vorlage!Druckbereich</vt:lpstr>
      <vt:lpstr>XingHohmannThea!Druckbereich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Korbinian Hauck</dc:creator>
  <cp:lastModifiedBy>jasul</cp:lastModifiedBy>
  <cp:lastPrinted>2021-07-16T13:13:55Z</cp:lastPrinted>
  <dcterms:created xsi:type="dcterms:W3CDTF">2015-07-12T20:13:53Z</dcterms:created>
  <dcterms:modified xsi:type="dcterms:W3CDTF">2022-08-31T08:40:34Z</dcterms:modified>
</cp:coreProperties>
</file>